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codeName="ThisWorkbook" autoCompressPictures="0"/>
  <bookViews>
    <workbookView xWindow="7000" yWindow="0" windowWidth="19000" windowHeight="22220" tabRatio="576" activeTab="3"/>
  </bookViews>
  <sheets>
    <sheet name="Energibalansrapport proj" sheetId="2" r:id="rId1"/>
    <sheet name="Diagram" sheetId="3" r:id="rId2"/>
    <sheet name="Indata Lokaler" sheetId="4" r:id="rId3"/>
    <sheet name="Indata bostäder." sheetId="1" r:id="rId4"/>
    <sheet name="Data" sheetId="5" state="veryHidden" r:id="rId5"/>
    <sheet name="DV ut" sheetId="6" state="veryHidden" r:id="rId6"/>
  </sheets>
  <definedNames>
    <definedName name="_xlnm._FilterDatabase" localSheetId="4" hidden="1">Data!#REF!</definedName>
    <definedName name="Aneby">Data!#REF!</definedName>
    <definedName name="Blekinge">Data!$D$4:$D$8</definedName>
    <definedName name="Dalarna">Data!$E$4:$E$19</definedName>
    <definedName name="Dummy">Data!#REF!</definedName>
    <definedName name="DVUT_TABLE">'DV ut'!$B$3:$S$295</definedName>
    <definedName name="Excel_BuiltIn_Print_Area" localSheetId="1">Diagram!$A$20:$D$21</definedName>
    <definedName name="Excel_BuiltIn_Print_Area" localSheetId="0">'Energibalansrapport proj'!$O$77:$U$144</definedName>
    <definedName name="FgeoVlookup">Data!$B$57:$C$355</definedName>
    <definedName name="Gottland">Data!$F$4:$F$5</definedName>
    <definedName name="Gävleborg">Data!$G$4:$G$13</definedName>
    <definedName name="Halland">Data!$H$4:$H$10</definedName>
    <definedName name="Hustyp9_2">'Energibalansrapport proj'!$B$196:$K$199</definedName>
    <definedName name="Jämtland">Data!$I$4:$I$11</definedName>
    <definedName name="Jönköping">Data!$J$4:$J$16</definedName>
    <definedName name="Kalmar">Data!$K$4:$K$15</definedName>
    <definedName name="Kronoberg">Data!$L$4:$L$10</definedName>
    <definedName name="Län">Data!#REF!</definedName>
    <definedName name="LänFgeo">Data!$B$4:$B$24</definedName>
    <definedName name="Norrbotten">Data!$M$4:$M$17</definedName>
    <definedName name="Ort">'Energibalansrapport proj'!$D$150:$D$172</definedName>
    <definedName name="_xlnm.Print_Area" localSheetId="1">Diagram!$A$19:$D$21</definedName>
    <definedName name="_xlnm.Print_Area" localSheetId="0">'Energibalansrapport proj'!$O$77:$U$146</definedName>
    <definedName name="_xlnm.Print_Area" localSheetId="3">'Indata bostäder.'!$B$1:$F$41</definedName>
    <definedName name="_xlnm.Print_Area" localSheetId="2">'Indata Lokaler'!$A$1:$D$59</definedName>
    <definedName name="Skåne">Data!$N$4:$N$36</definedName>
    <definedName name="Stockholm">Data!$O$4:$O$31</definedName>
    <definedName name="Södermanland">Data!$P$4:$P$11</definedName>
    <definedName name="Uppsala">Data!$Q$4:$Q$11</definedName>
    <definedName name="Värmesystem">'Energibalansrapport proj'!$B$206:$W$223</definedName>
    <definedName name="Värmland">Data!$R$4:$R$19</definedName>
    <definedName name="Västerbotten">Data!$S$4:$S$18</definedName>
    <definedName name="Västernorrland">Data!$T$4:$T$10</definedName>
    <definedName name="Västmanland">Data!$U$4:$U$13</definedName>
    <definedName name="Västra_Götaland">Data!$V$4:$V$53</definedName>
    <definedName name="zoner">'Energibalansrapport proj'!#REF!</definedName>
    <definedName name="Örebro">Data!$W$4:$W$15</definedName>
    <definedName name="Östergötland">Data!$X$4:$X$16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C31" i="5"/>
  <c r="B42" i="5"/>
  <c r="B243" i="2"/>
  <c r="D9" i="2"/>
  <c r="Q241" i="2"/>
  <c r="F42" i="5"/>
  <c r="C243" i="2"/>
  <c r="I42" i="5"/>
  <c r="F243" i="2"/>
  <c r="Q242" i="2"/>
  <c r="R242" i="2"/>
  <c r="B39" i="2"/>
  <c r="D10" i="2"/>
  <c r="T243" i="6"/>
  <c r="D7" i="1"/>
  <c r="B21" i="2"/>
  <c r="C32" i="5"/>
  <c r="C244" i="2"/>
  <c r="C245" i="2"/>
  <c r="G42" i="5"/>
  <c r="D243" i="2"/>
  <c r="B1" i="2"/>
  <c r="I233" i="2"/>
  <c r="H42" i="5"/>
  <c r="E243" i="2"/>
  <c r="G229" i="2"/>
  <c r="J228" i="2"/>
  <c r="B225" i="2"/>
  <c r="J225" i="2"/>
  <c r="I225" i="2"/>
  <c r="J233" i="2"/>
  <c r="K225" i="2"/>
  <c r="K228" i="2"/>
  <c r="K233" i="2"/>
  <c r="L228" i="2"/>
  <c r="L225" i="2"/>
  <c r="L233" i="2"/>
  <c r="M228" i="2"/>
  <c r="M225" i="2"/>
  <c r="M233" i="2"/>
  <c r="N228" i="2"/>
  <c r="N225" i="2"/>
  <c r="N233" i="2"/>
  <c r="R233" i="2"/>
  <c r="I229" i="2"/>
  <c r="J229" i="2"/>
  <c r="K229" i="2"/>
  <c r="L229" i="2"/>
  <c r="M229" i="2"/>
  <c r="N229" i="2"/>
  <c r="R229" i="2"/>
  <c r="I231" i="2"/>
  <c r="J231" i="2"/>
  <c r="K231" i="2"/>
  <c r="L231" i="2"/>
  <c r="M231" i="2"/>
  <c r="N231" i="2"/>
  <c r="R231" i="2"/>
  <c r="I232" i="2"/>
  <c r="J232" i="2"/>
  <c r="K232" i="2"/>
  <c r="L232" i="2"/>
  <c r="M232" i="2"/>
  <c r="N232" i="2"/>
  <c r="R232" i="2"/>
  <c r="R234" i="2"/>
  <c r="D28" i="2"/>
  <c r="T225" i="2"/>
  <c r="D39" i="2"/>
  <c r="G225" i="2"/>
  <c r="E225" i="2"/>
  <c r="B28" i="2"/>
  <c r="R213" i="2"/>
  <c r="Q213" i="2"/>
  <c r="D213" i="2"/>
  <c r="C213" i="2"/>
  <c r="F225" i="2"/>
  <c r="C228" i="2"/>
  <c r="D24" i="2"/>
  <c r="D21" i="2"/>
  <c r="D25" i="2"/>
  <c r="H225" i="2"/>
  <c r="E228" i="2"/>
  <c r="D36" i="2"/>
  <c r="D33" i="2"/>
  <c r="D34" i="2"/>
  <c r="D37" i="2"/>
  <c r="D64" i="2"/>
  <c r="D47" i="2"/>
  <c r="D236" i="2"/>
  <c r="C233" i="2"/>
  <c r="D45" i="2"/>
  <c r="D233" i="2"/>
  <c r="D235" i="2"/>
  <c r="D237" i="2"/>
  <c r="D238" i="2"/>
  <c r="D240" i="2"/>
  <c r="D50" i="2"/>
  <c r="D65" i="2"/>
  <c r="D66" i="2"/>
  <c r="D67" i="2"/>
  <c r="T141" i="2"/>
  <c r="S141" i="2"/>
  <c r="P141" i="2"/>
  <c r="S140" i="2"/>
  <c r="C65" i="2"/>
  <c r="S139" i="2"/>
  <c r="S138" i="2"/>
  <c r="B200" i="2"/>
  <c r="R42" i="5"/>
  <c r="D14" i="2"/>
  <c r="G193" i="2"/>
  <c r="H196" i="2"/>
  <c r="G196" i="2"/>
  <c r="J196" i="2"/>
  <c r="I193" i="2"/>
  <c r="I199" i="2"/>
  <c r="H197" i="2"/>
  <c r="H198" i="2"/>
  <c r="H199" i="2"/>
  <c r="G199" i="2"/>
  <c r="J199" i="2"/>
  <c r="I198" i="2"/>
  <c r="G198" i="2"/>
  <c r="J198" i="2"/>
  <c r="J200" i="2"/>
  <c r="H200" i="2"/>
  <c r="I200" i="2"/>
  <c r="O83" i="2"/>
  <c r="S105" i="2"/>
  <c r="S106" i="2"/>
  <c r="D9" i="1"/>
  <c r="P88" i="2"/>
  <c r="D16" i="1"/>
  <c r="D8" i="2"/>
  <c r="D38" i="2"/>
  <c r="T115" i="2"/>
  <c r="S115" i="2"/>
  <c r="P115" i="2"/>
  <c r="D11" i="2"/>
  <c r="D27" i="2"/>
  <c r="T105" i="2"/>
  <c r="B27" i="2"/>
  <c r="P105" i="2"/>
  <c r="B61" i="2"/>
  <c r="D40" i="2"/>
  <c r="D29" i="2"/>
  <c r="D61" i="2"/>
  <c r="F198" i="2"/>
  <c r="D198" i="2"/>
  <c r="D199" i="2"/>
  <c r="E200" i="2"/>
  <c r="F199" i="2"/>
  <c r="F200" i="2"/>
  <c r="D200" i="2"/>
  <c r="D59" i="2"/>
  <c r="T134" i="2"/>
  <c r="C59" i="2"/>
  <c r="S134" i="2"/>
  <c r="B59" i="2"/>
  <c r="P134" i="2"/>
  <c r="E58" i="2"/>
  <c r="C200" i="2"/>
  <c r="C201" i="2"/>
  <c r="K200" i="2"/>
  <c r="G200" i="2"/>
  <c r="D209" i="2"/>
  <c r="D217" i="2"/>
  <c r="D210" i="2"/>
  <c r="D225" i="2"/>
  <c r="T107" i="2"/>
  <c r="T108" i="2"/>
  <c r="T117" i="2"/>
  <c r="T118" i="2"/>
  <c r="R88" i="2"/>
  <c r="S117" i="2"/>
  <c r="S118" i="2"/>
  <c r="S107" i="2"/>
  <c r="S108" i="2"/>
  <c r="D212" i="2"/>
  <c r="C7" i="2"/>
  <c r="B2" i="1"/>
  <c r="P101" i="2"/>
  <c r="E22" i="2"/>
  <c r="A12" i="3"/>
  <c r="S116" i="2"/>
  <c r="S113" i="2"/>
  <c r="S103" i="2"/>
  <c r="D221" i="2"/>
  <c r="B56" i="2"/>
  <c r="R222" i="2"/>
  <c r="Q222" i="2"/>
  <c r="D26" i="2"/>
  <c r="C209" i="2"/>
  <c r="C221" i="2"/>
  <c r="D206" i="2"/>
  <c r="C206" i="2"/>
  <c r="C212" i="2"/>
  <c r="C217" i="2"/>
  <c r="D214" i="2"/>
  <c r="C214" i="2"/>
  <c r="D211" i="2"/>
  <c r="C211" i="2"/>
  <c r="D223" i="2"/>
  <c r="C223" i="2"/>
  <c r="C210" i="2"/>
  <c r="C225" i="2"/>
  <c r="D55" i="2"/>
  <c r="D57" i="2"/>
  <c r="T132" i="2"/>
  <c r="S132" i="2"/>
  <c r="P132" i="2"/>
  <c r="B55" i="2"/>
  <c r="U225" i="2"/>
  <c r="T130" i="2"/>
  <c r="S130" i="2"/>
  <c r="P130" i="2"/>
  <c r="B29" i="2"/>
  <c r="B33" i="2"/>
  <c r="B26" i="2"/>
  <c r="T129" i="2"/>
  <c r="S129" i="2"/>
  <c r="P129" i="2"/>
  <c r="T128" i="2"/>
  <c r="S128" i="2"/>
  <c r="P128" i="2"/>
  <c r="T93" i="2"/>
  <c r="S93" i="2"/>
  <c r="B11" i="2"/>
  <c r="P93" i="2"/>
  <c r="T92" i="2"/>
  <c r="S92" i="2"/>
  <c r="B10" i="2"/>
  <c r="P92" i="2"/>
  <c r="T91" i="2"/>
  <c r="S91" i="2"/>
  <c r="P91" i="2"/>
  <c r="O81" i="2"/>
  <c r="P146" i="2"/>
  <c r="Q215" i="2"/>
  <c r="R215" i="2"/>
  <c r="Q216" i="2"/>
  <c r="R216" i="2"/>
  <c r="Q217" i="2"/>
  <c r="R217" i="2"/>
  <c r="Q218" i="2"/>
  <c r="R218" i="2"/>
  <c r="Q219" i="2"/>
  <c r="R219" i="2"/>
  <c r="Q220" i="2"/>
  <c r="R220" i="2"/>
  <c r="Q221" i="2"/>
  <c r="R221" i="2"/>
  <c r="Q223" i="2"/>
  <c r="R223" i="2"/>
  <c r="R214" i="2"/>
  <c r="Q214" i="2"/>
  <c r="Q212" i="2"/>
  <c r="R212" i="2"/>
  <c r="R206" i="2"/>
  <c r="R207" i="2"/>
  <c r="R208" i="2"/>
  <c r="R209" i="2"/>
  <c r="R210" i="2"/>
  <c r="R211" i="2"/>
  <c r="Q207" i="2"/>
  <c r="Q208" i="2"/>
  <c r="Q209" i="2"/>
  <c r="Q210" i="2"/>
  <c r="Q211" i="2"/>
  <c r="Q206" i="2"/>
  <c r="S225" i="2"/>
  <c r="R225" i="2"/>
  <c r="Q225" i="2"/>
  <c r="P225" i="2"/>
  <c r="O225" i="2"/>
  <c r="E24" i="2"/>
  <c r="T100" i="2"/>
  <c r="F25" i="3"/>
  <c r="F26" i="3"/>
  <c r="F27" i="3"/>
  <c r="D46" i="2"/>
  <c r="D48" i="2"/>
  <c r="T124" i="2"/>
  <c r="F28" i="3"/>
  <c r="F24" i="3"/>
  <c r="D29" i="3"/>
  <c r="A19" i="3"/>
  <c r="D62" i="2"/>
  <c r="F36" i="3"/>
  <c r="B63" i="2"/>
  <c r="D63" i="2"/>
  <c r="F35" i="3"/>
  <c r="A13" i="3"/>
  <c r="T101" i="2"/>
  <c r="F34" i="3"/>
  <c r="P123" i="2"/>
  <c r="P96" i="2"/>
  <c r="P138" i="2"/>
  <c r="B65" i="2"/>
  <c r="P139" i="2"/>
  <c r="P140" i="2"/>
  <c r="T137" i="2"/>
  <c r="T138" i="2"/>
  <c r="T139" i="2"/>
  <c r="T140" i="2"/>
  <c r="P137" i="2"/>
  <c r="L42" i="5"/>
  <c r="I243" i="2"/>
  <c r="P135" i="2"/>
  <c r="D218" i="2"/>
  <c r="P136" i="2"/>
  <c r="S136" i="2"/>
  <c r="T136" i="2"/>
  <c r="P133" i="2"/>
  <c r="S133" i="2"/>
  <c r="C218" i="2"/>
  <c r="T133" i="2"/>
  <c r="S131" i="2"/>
  <c r="T131" i="2"/>
  <c r="P131" i="2"/>
  <c r="P127" i="2"/>
  <c r="C235" i="2"/>
  <c r="T125" i="2"/>
  <c r="T126" i="2"/>
  <c r="S124" i="2"/>
  <c r="S125" i="2"/>
  <c r="S126" i="2"/>
  <c r="P126" i="2"/>
  <c r="P124" i="2"/>
  <c r="P125" i="2"/>
  <c r="S123" i="2"/>
  <c r="T123" i="2"/>
  <c r="T120" i="2"/>
  <c r="P122" i="2"/>
  <c r="S122" i="2"/>
  <c r="T122" i="2"/>
  <c r="S121" i="2"/>
  <c r="T121" i="2"/>
  <c r="P121" i="2"/>
  <c r="P120" i="2"/>
  <c r="P109" i="2"/>
  <c r="P119" i="2"/>
  <c r="T114" i="2"/>
  <c r="T116" i="2"/>
  <c r="S114" i="2"/>
  <c r="P114" i="2"/>
  <c r="P116" i="2"/>
  <c r="P117" i="2"/>
  <c r="P111" i="2"/>
  <c r="S111" i="2"/>
  <c r="T111" i="2"/>
  <c r="P112" i="2"/>
  <c r="S112" i="2"/>
  <c r="T112" i="2"/>
  <c r="P113" i="2"/>
  <c r="T113" i="2"/>
  <c r="S110" i="2"/>
  <c r="T110" i="2"/>
  <c r="P110" i="2"/>
  <c r="T106" i="2"/>
  <c r="P106" i="2"/>
  <c r="P107" i="2"/>
  <c r="T103" i="2"/>
  <c r="T104" i="2"/>
  <c r="S104" i="2"/>
  <c r="P103" i="2"/>
  <c r="P104" i="2"/>
  <c r="P102" i="2"/>
  <c r="Q102" i="2"/>
  <c r="S101" i="2"/>
  <c r="P100" i="2"/>
  <c r="S100" i="2"/>
  <c r="S95" i="2"/>
  <c r="T95" i="2"/>
  <c r="P95" i="2"/>
  <c r="S94" i="2"/>
  <c r="T94" i="2"/>
  <c r="P94" i="2"/>
  <c r="O80" i="2"/>
  <c r="O79" i="2"/>
  <c r="S89" i="2"/>
  <c r="S88" i="2"/>
  <c r="U88" i="2"/>
  <c r="T88" i="2"/>
  <c r="C8" i="2"/>
  <c r="B8" i="2"/>
  <c r="L230" i="2"/>
  <c r="M230" i="2"/>
  <c r="K230" i="2"/>
  <c r="J230" i="2"/>
  <c r="I230" i="2"/>
  <c r="N230" i="2"/>
  <c r="R230" i="2"/>
  <c r="G219" i="2"/>
  <c r="R79" i="2"/>
  <c r="S87" i="2"/>
  <c r="D219" i="2"/>
  <c r="C219" i="2"/>
  <c r="R87" i="2"/>
  <c r="G197" i="2"/>
  <c r="J197" i="2"/>
  <c r="D215" i="2"/>
  <c r="C215" i="2"/>
  <c r="D207" i="2"/>
  <c r="C207" i="2"/>
  <c r="D208" i="2"/>
  <c r="C208" i="2"/>
  <c r="D216" i="2"/>
  <c r="C216" i="2"/>
  <c r="D220" i="2"/>
  <c r="C220" i="2"/>
  <c r="C237" i="2"/>
  <c r="N42" i="5"/>
  <c r="K243" i="2"/>
  <c r="O42" i="5"/>
  <c r="L243" i="2"/>
  <c r="P42" i="5"/>
  <c r="M243" i="2"/>
  <c r="Q42" i="5"/>
  <c r="N243" i="2"/>
  <c r="B14" i="2"/>
  <c r="E12" i="2"/>
  <c r="E6" i="2"/>
  <c r="J42" i="5"/>
  <c r="G243" i="2"/>
  <c r="K42" i="5"/>
  <c r="H243" i="2"/>
  <c r="M42" i="5"/>
  <c r="J243" i="2"/>
  <c r="C30" i="5"/>
  <c r="A42" i="5"/>
  <c r="C42" i="5"/>
  <c r="D42" i="5"/>
  <c r="T317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283" i="6"/>
  <c r="T112" i="6"/>
  <c r="T113" i="6"/>
  <c r="T114" i="6"/>
  <c r="T115" i="6"/>
  <c r="T116" i="6"/>
  <c r="T117" i="6"/>
  <c r="T118" i="6"/>
  <c r="T310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309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308" i="6"/>
  <c r="T150" i="6"/>
  <c r="T151" i="6"/>
  <c r="T152" i="6"/>
  <c r="T307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30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304" i="6"/>
  <c r="T208" i="6"/>
  <c r="T209" i="6"/>
  <c r="T210" i="6"/>
  <c r="T211" i="6"/>
  <c r="T305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303" i="6"/>
  <c r="T231" i="6"/>
  <c r="T232" i="6"/>
  <c r="T233" i="6"/>
  <c r="T234" i="6"/>
  <c r="T235" i="6"/>
  <c r="T236" i="6"/>
  <c r="T237" i="6"/>
  <c r="T238" i="6"/>
  <c r="T240" i="6"/>
  <c r="T241" i="6"/>
  <c r="T302" i="6"/>
  <c r="T242" i="6"/>
  <c r="T301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300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4" i="6"/>
  <c r="T285" i="6"/>
  <c r="T286" i="6"/>
  <c r="T287" i="6"/>
  <c r="T288" i="6"/>
  <c r="T289" i="6"/>
  <c r="T290" i="6"/>
  <c r="T291" i="6"/>
  <c r="T292" i="6"/>
  <c r="T293" i="6"/>
  <c r="T299" i="6"/>
  <c r="T294" i="6"/>
  <c r="T295" i="6"/>
  <c r="T298" i="6"/>
  <c r="T80" i="6"/>
  <c r="T81" i="6"/>
  <c r="T82" i="6"/>
  <c r="T83" i="6"/>
  <c r="T84" i="6"/>
  <c r="T85" i="6"/>
  <c r="T75" i="6"/>
  <c r="T76" i="6"/>
  <c r="T77" i="6"/>
  <c r="T78" i="6"/>
  <c r="T79" i="6"/>
  <c r="T313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316" i="6"/>
  <c r="T239" i="6"/>
  <c r="T314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C18" i="4"/>
  <c r="C17" i="4"/>
  <c r="B48" i="4"/>
  <c r="B52" i="4"/>
  <c r="B53" i="4"/>
  <c r="D53" i="4"/>
  <c r="D48" i="4"/>
  <c r="D49" i="4"/>
  <c r="D50" i="4"/>
  <c r="D51" i="4"/>
  <c r="D52" i="4"/>
  <c r="D54" i="4"/>
  <c r="B54" i="4"/>
  <c r="D55" i="4"/>
  <c r="A1" i="4"/>
  <c r="C57" i="4"/>
  <c r="C58" i="4"/>
  <c r="D57" i="4"/>
  <c r="D58" i="4"/>
  <c r="D59" i="4"/>
  <c r="C59" i="4"/>
  <c r="B59" i="4"/>
  <c r="O77" i="2"/>
  <c r="B33" i="4"/>
  <c r="B34" i="4"/>
  <c r="B35" i="4"/>
  <c r="D35" i="4"/>
  <c r="B16" i="4"/>
  <c r="B25" i="4"/>
  <c r="E17" i="4"/>
  <c r="E18" i="4"/>
  <c r="E19" i="4"/>
  <c r="D19" i="4"/>
  <c r="B24" i="4"/>
  <c r="B44" i="4"/>
  <c r="D45" i="4"/>
  <c r="B40" i="4"/>
  <c r="B42" i="4"/>
  <c r="B22" i="4"/>
  <c r="B23" i="4"/>
  <c r="E6" i="4"/>
  <c r="E7" i="4"/>
  <c r="E8" i="4"/>
  <c r="E9" i="4"/>
  <c r="E10" i="4"/>
  <c r="E11" i="4"/>
  <c r="E12" i="4"/>
  <c r="F32" i="3"/>
  <c r="F33" i="3"/>
  <c r="T99" i="2"/>
  <c r="P143" i="2"/>
  <c r="C24" i="3"/>
  <c r="A3" i="3"/>
  <c r="C26" i="3"/>
  <c r="A5" i="3"/>
  <c r="C32" i="3"/>
  <c r="A6" i="3"/>
  <c r="C33" i="3"/>
  <c r="A7" i="3"/>
  <c r="C35" i="3"/>
  <c r="D24" i="3"/>
  <c r="D26" i="3"/>
  <c r="C25" i="3"/>
  <c r="C27" i="3"/>
  <c r="K27" i="3"/>
  <c r="C28" i="3"/>
  <c r="H33" i="3"/>
  <c r="C34" i="3"/>
  <c r="C36" i="3"/>
  <c r="O82" i="2"/>
  <c r="R89" i="2"/>
  <c r="P99" i="2"/>
  <c r="S99" i="2"/>
  <c r="P144" i="2"/>
  <c r="P145" i="2"/>
  <c r="E11" i="1"/>
  <c r="E12" i="1"/>
  <c r="E13" i="1"/>
  <c r="E14" i="1"/>
  <c r="E15" i="1"/>
  <c r="D17" i="1"/>
  <c r="D18" i="1"/>
  <c r="F19" i="1"/>
  <c r="D19" i="1"/>
  <c r="D27" i="1"/>
  <c r="D28" i="1"/>
  <c r="D29" i="1"/>
  <c r="D30" i="1"/>
  <c r="D31" i="1"/>
  <c r="D32" i="1"/>
  <c r="D36" i="1"/>
  <c r="D37" i="1"/>
  <c r="D40" i="1"/>
  <c r="T89" i="2"/>
  <c r="U89" i="2"/>
  <c r="D20" i="1"/>
  <c r="D22" i="1"/>
  <c r="E34" i="3"/>
  <c r="C238" i="2"/>
  <c r="B26" i="4"/>
  <c r="D26" i="4"/>
  <c r="B46" i="4"/>
  <c r="D28" i="3"/>
  <c r="D25" i="3"/>
  <c r="H26" i="3"/>
  <c r="H34" i="3"/>
  <c r="D27" i="3"/>
  <c r="H35" i="3"/>
  <c r="E20" i="3"/>
  <c r="B29" i="3"/>
  <c r="B25" i="3"/>
  <c r="B27" i="3"/>
  <c r="B24" i="3"/>
  <c r="B26" i="3"/>
  <c r="E36" i="3"/>
  <c r="E35" i="3"/>
  <c r="F37" i="3"/>
  <c r="F38" i="3"/>
  <c r="F39" i="3"/>
  <c r="F40" i="3"/>
  <c r="F41" i="3"/>
  <c r="E33" i="3"/>
  <c r="E32" i="3"/>
  <c r="T87" i="2"/>
  <c r="U87" i="2"/>
  <c r="E37" i="3"/>
  <c r="B32" i="3"/>
  <c r="B33" i="3"/>
  <c r="B34" i="3"/>
  <c r="B36" i="3"/>
  <c r="B35" i="3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indexed="81"/>
            <rFont val="Arial"/>
          </rPr>
          <t>Fyll i värden i de utpekade gula fälten. Utskriften innehåller även framräknade värden, markerade med vitgrå bakgrund, som normalt inte skall ändras. Sidhuvud och sidfot texter kan redigeras vid specialbehov..</t>
        </r>
      </text>
    </comment>
    <comment ref="N76" authorId="0">
      <text>
        <r>
          <rPr>
            <sz val="10"/>
            <color indexed="8"/>
            <rFont val="Arial"/>
            <family val="2"/>
          </rPr>
          <t xml:space="preserve">Detta är rapporten  som skrivs ut. Normalt gör du inga förändringar här.
För att skriva ut alla rapporter, välj flik efter flik  vid utskrift
</t>
        </r>
      </text>
    </comment>
  </commentList>
</comments>
</file>

<file path=xl/sharedStrings.xml><?xml version="1.0" encoding="utf-8"?>
<sst xmlns="http://schemas.openxmlformats.org/spreadsheetml/2006/main" count="2300" uniqueCount="706">
  <si>
    <t>Indata / val</t>
  </si>
  <si>
    <t>Beräknade inparametrar till EnergyCalc</t>
  </si>
  <si>
    <t>Typ av byggnad</t>
  </si>
  <si>
    <t>Konstanter</t>
  </si>
  <si>
    <t>Äldreboende (endast för flerbostadshus)</t>
  </si>
  <si>
    <t>Ja/nej</t>
  </si>
  <si>
    <t>nej</t>
  </si>
  <si>
    <t>Temperatur bostadsutrymme</t>
  </si>
  <si>
    <t>Bostäder</t>
  </si>
  <si>
    <t>Enhet</t>
  </si>
  <si>
    <t>á antal personer</t>
  </si>
  <si>
    <t>1 rum och kök</t>
  </si>
  <si>
    <t>st.</t>
  </si>
  <si>
    <t>2 rum och kök</t>
  </si>
  <si>
    <t>3 rum och kök</t>
  </si>
  <si>
    <t>4 rum och kök</t>
  </si>
  <si>
    <t>5 + fler rum och kök</t>
  </si>
  <si>
    <t>Totalt antal lägenheter</t>
  </si>
  <si>
    <t>Totalt antal personer</t>
  </si>
  <si>
    <t>Effektavgivning W/person</t>
  </si>
  <si>
    <t>W/person</t>
  </si>
  <si>
    <t>Närvarofaktor (14/7/52)</t>
  </si>
  <si>
    <t>Faktor</t>
  </si>
  <si>
    <t>Metabolsk medeleffekt</t>
  </si>
  <si>
    <t>W</t>
  </si>
  <si>
    <t xml:space="preserve">A-temp </t>
  </si>
  <si>
    <t>m²</t>
  </si>
  <si>
    <t>Metabolsk medeleffekt / m²</t>
  </si>
  <si>
    <t>W/m2</t>
  </si>
  <si>
    <t>Luftflöde grundflöde</t>
  </si>
  <si>
    <t>l/s/m2</t>
  </si>
  <si>
    <t>Antal WC/Badrum</t>
  </si>
  <si>
    <t>Ej i Ben1</t>
  </si>
  <si>
    <t>Genomsnittsarea WC/Badrum</t>
  </si>
  <si>
    <t>Driftstid ventilation WC tim/ dygn</t>
  </si>
  <si>
    <t>tim</t>
  </si>
  <si>
    <t>Luftflöde per WC/Badrum under drift</t>
  </si>
  <si>
    <t>l/s</t>
  </si>
  <si>
    <t>Extra luftflöde WC/Badrum</t>
  </si>
  <si>
    <t>Forcerat luftflöde kök</t>
  </si>
  <si>
    <t>Anta tim/dygn med forcerad köksventilation</t>
  </si>
  <si>
    <t>Totalt frånluftsflöde.</t>
  </si>
  <si>
    <t>Frånluftsflöde</t>
  </si>
  <si>
    <t>Vädringspåslag</t>
  </si>
  <si>
    <t>Hushållsenergi / Apparatur</t>
  </si>
  <si>
    <t>kWh/m2/år</t>
  </si>
  <si>
    <t>Hushållsenergi verkningsgrad/  möjlig att tillgodogöra</t>
  </si>
  <si>
    <t>Beräknas enligt ISO 13790 I EC</t>
  </si>
  <si>
    <t>Ben 1  anger 70 %</t>
  </si>
  <si>
    <t>Finns solavskärmning för fönster</t>
  </si>
  <si>
    <t>Nej</t>
  </si>
  <si>
    <t>Skuggfaktor fönster</t>
  </si>
  <si>
    <t>%</t>
  </si>
  <si>
    <t>Stockholm-Bromma</t>
  </si>
  <si>
    <t xml:space="preserve"> C°</t>
  </si>
  <si>
    <t>W/K°</t>
  </si>
  <si>
    <t>kWh/år</t>
  </si>
  <si>
    <t>Genomsnittlig värmegenomgångskoefficient för byggnadens omslutning:</t>
  </si>
  <si>
    <t>W/m²K</t>
  </si>
  <si>
    <t>Atemp:</t>
  </si>
  <si>
    <t>Beräknad energiåtgång för tappvarmvatten</t>
  </si>
  <si>
    <t>l/s*m2</t>
  </si>
  <si>
    <t>Ventilation</t>
  </si>
  <si>
    <t>Kommentarer:</t>
  </si>
  <si>
    <t>Värmesystemet och dess prestanda måste kontrolleras dimensioneras av VVS leverantör</t>
  </si>
  <si>
    <t>Max</t>
  </si>
  <si>
    <t>Energiklass</t>
  </si>
  <si>
    <t>Specifikation för byggnadens beräknade energianvändning</t>
  </si>
  <si>
    <t>Lokal</t>
  </si>
  <si>
    <t>Vald</t>
  </si>
  <si>
    <t>Direktverkande El</t>
  </si>
  <si>
    <t>Fjärrvärme</t>
  </si>
  <si>
    <t>Frånluftsvärmepump mindre</t>
  </si>
  <si>
    <t>Fränluftsvärmepump besparing</t>
  </si>
  <si>
    <t>Frånluftsvärmepump större</t>
  </si>
  <si>
    <t>Frånluftsvärmepump besparing</t>
  </si>
  <si>
    <t>Jord/Berg -värmepump</t>
  </si>
  <si>
    <t>Jord/Berg -värmepump besparing</t>
  </si>
  <si>
    <t>Luft /Vatten värmepump</t>
  </si>
  <si>
    <t>Luft /Vatten värmepump besparing</t>
  </si>
  <si>
    <t>Luft/Luft värmepump</t>
  </si>
  <si>
    <t>Luft/Luft värmepump besparing</t>
  </si>
  <si>
    <t>Pellets -vedpanna</t>
  </si>
  <si>
    <t>Pellets / vedpanna verkningsgradsförlust (-)</t>
  </si>
  <si>
    <t>Övrig</t>
  </si>
  <si>
    <t>Värmesystem besparing +/-</t>
  </si>
  <si>
    <t>Energi för installationer</t>
  </si>
  <si>
    <t>FSP ventilation</t>
  </si>
  <si>
    <t>W/m2 vid specad vent</t>
  </si>
  <si>
    <t>W/m2 cirkulationspump</t>
  </si>
  <si>
    <t>W/hela byggnaden</t>
  </si>
  <si>
    <t>Förlust VV- beredare kWh/år</t>
  </si>
  <si>
    <t>Total förlust ´kWh/år</t>
  </si>
  <si>
    <t>Aktuell dygn</t>
  </si>
  <si>
    <t xml:space="preserve">1-dygn </t>
  </si>
  <si>
    <t xml:space="preserve">2-dygn </t>
  </si>
  <si>
    <t xml:space="preserve">3-dygn </t>
  </si>
  <si>
    <t xml:space="preserve">4-dygn </t>
  </si>
  <si>
    <t xml:space="preserve">5-dygn </t>
  </si>
  <si>
    <t xml:space="preserve">6-dygn </t>
  </si>
  <si>
    <t xml:space="preserve">7-dygn </t>
  </si>
  <si>
    <t xml:space="preserve">8-dygn </t>
  </si>
  <si>
    <t>Jokkmokk</t>
  </si>
  <si>
    <t>Luleå</t>
  </si>
  <si>
    <t>Lycksele</t>
  </si>
  <si>
    <t>Sveg</t>
  </si>
  <si>
    <t>Malung</t>
  </si>
  <si>
    <t>Falun</t>
  </si>
  <si>
    <t>Uppsala</t>
  </si>
  <si>
    <t>Södertälje</t>
  </si>
  <si>
    <t>Örebro</t>
  </si>
  <si>
    <t>Karlstad</t>
  </si>
  <si>
    <t>Norrköping</t>
  </si>
  <si>
    <t>Såtenäs</t>
  </si>
  <si>
    <t>Visby</t>
  </si>
  <si>
    <t>Växjö</t>
  </si>
  <si>
    <t>Kalmar</t>
  </si>
  <si>
    <t>Lund</t>
  </si>
  <si>
    <t>Län</t>
  </si>
  <si>
    <t>Texter - kan justeras</t>
  </si>
  <si>
    <t>Internt tillskott</t>
  </si>
  <si>
    <t>Inköpt energi</t>
  </si>
  <si>
    <t>Förluster</t>
  </si>
  <si>
    <t>Energi kWh/år</t>
  </si>
  <si>
    <t>Transmission</t>
  </si>
  <si>
    <t>Ventillation+vädring</t>
  </si>
  <si>
    <t>Luftläckage</t>
  </si>
  <si>
    <t>Varmvatten</t>
  </si>
  <si>
    <t>Installationer</t>
  </si>
  <si>
    <t>Antal personer i byggnaden</t>
  </si>
  <si>
    <t>'Kwh/år</t>
  </si>
  <si>
    <t>Nyttjandegrad</t>
  </si>
  <si>
    <t>P50, läckfaktor</t>
  </si>
  <si>
    <t>l/(s*m2)</t>
  </si>
  <si>
    <t>Ej Ben1</t>
  </si>
  <si>
    <t>Se i fliken Energibalansrapport proj</t>
  </si>
  <si>
    <t>Auto</t>
  </si>
  <si>
    <t>Energiåtgång fläktmotorer</t>
  </si>
  <si>
    <t>Energiåtgång cirkulationspumpar</t>
  </si>
  <si>
    <t>kW/år</t>
  </si>
  <si>
    <t>Förutsättningar</t>
  </si>
  <si>
    <t>Brutto -effekt kW</t>
  </si>
  <si>
    <t>Effektavgivning</t>
  </si>
  <si>
    <t>Antal tot</t>
  </si>
  <si>
    <t>Summa förlusteffekt som blir värme i lokalen W</t>
  </si>
  <si>
    <t>Maskin</t>
  </si>
  <si>
    <t>Apparater allmänt</t>
  </si>
  <si>
    <t>Maskiner totalt (W)</t>
  </si>
  <si>
    <t>Totaleffekt att använda för maskiner och belysning under drift</t>
  </si>
  <si>
    <t>W i snitt</t>
  </si>
  <si>
    <t>Beräknad arbetstid – tim / dygn</t>
  </si>
  <si>
    <t>Antal driftsdagar / år</t>
  </si>
  <si>
    <t>Apparatur medeleffekt  för energiförbrukning W</t>
  </si>
  <si>
    <t>Belysning i Lux</t>
  </si>
  <si>
    <t>Upskattad Lux/W förlust medräknad</t>
  </si>
  <si>
    <t>Erforderlig effekt W/m²</t>
  </si>
  <si>
    <t>Belysning totalt kW</t>
  </si>
  <si>
    <t>Beräknad driftstid / dygn öppna dagar</t>
  </si>
  <si>
    <t>Andel öppettid .(årsmedel)</t>
  </si>
  <si>
    <t>Belysning medeleffekt  för energiförbrukning kW</t>
  </si>
  <si>
    <t>Metabolsk effekt (Personvärme)  W/person</t>
  </si>
  <si>
    <t>Antal kunder</t>
  </si>
  <si>
    <t>Beräknad uppehållstid tim / dygn köpdagar</t>
  </si>
  <si>
    <t>Antal personal</t>
  </si>
  <si>
    <t>Uppehållstid personal aktiva dagar</t>
  </si>
  <si>
    <t>Totalt  antal person*timmar öppna dagar</t>
  </si>
  <si>
    <t>Genomsnittligt antal personer i byggnaden (årsmedel)</t>
  </si>
  <si>
    <t>Ventilation- prel. Beräkning av medelflöde</t>
  </si>
  <si>
    <t>A temp</t>
  </si>
  <si>
    <t>Area m²  bottenarea</t>
  </si>
  <si>
    <t>Höjd (medel för hela byggnaden)</t>
  </si>
  <si>
    <t>Volym</t>
  </si>
  <si>
    <t>Luftflöde icke driftstid l/s  (0,1 l/s/m2)</t>
  </si>
  <si>
    <t>Flöde under driftsperiod  luftbyte/h</t>
  </si>
  <si>
    <t>Erforderligt luftflöde.</t>
  </si>
  <si>
    <t>Beräkning driftstid / dygn snitt årsbasis</t>
  </si>
  <si>
    <t>Genomsnittsflöde l/s/m²</t>
  </si>
  <si>
    <t>Luftflöde för förhöjd effekt och Spec energi under dagtid l/s/m2</t>
  </si>
  <si>
    <t>Preliminärt beräknad erforderlig tilluftsventilation driftstid</t>
  </si>
  <si>
    <t>Area</t>
  </si>
  <si>
    <t>Luftflöde tilluft l/s</t>
  </si>
  <si>
    <t>Tot luftflöde l/s</t>
  </si>
  <si>
    <t>Kontor</t>
  </si>
  <si>
    <t>Matsal</t>
  </si>
  <si>
    <t>Teknik</t>
  </si>
  <si>
    <t>Omklädningsrum</t>
  </si>
  <si>
    <t>Lager Verkstad 50/50 (50 % tillluft area)</t>
  </si>
  <si>
    <t>Summa</t>
  </si>
  <si>
    <t>Beräkning genomsnittlig temperatur</t>
  </si>
  <si>
    <t>Temperatur C</t>
  </si>
  <si>
    <t>Omslutnigsarea m²</t>
  </si>
  <si>
    <t>Servicedel – kontor</t>
  </si>
  <si>
    <t>Verkstad lager</t>
  </si>
  <si>
    <t>Hjälpmedelsblankett - Indata för lokaler sker annars med respektive entreprenörs data.</t>
  </si>
  <si>
    <t>Data till EC</t>
  </si>
  <si>
    <t>Metabolsk medeleffekt  för energiförbrukning W</t>
  </si>
  <si>
    <t>Flöde l/s/m2 driftstid (per Atemp) 
(beräkning se nedan)</t>
  </si>
  <si>
    <t>Indata energiberäkning lokal – sammanställning - estimering</t>
  </si>
  <si>
    <t xml:space="preserve">Fastighetsbeteckning : </t>
  </si>
  <si>
    <t>Apparatur medeleffekt  för energiförbrukning W/m2 drift</t>
  </si>
  <si>
    <t>Apparatur medeleffekt  för energiförbrukning W/m2 vila</t>
  </si>
  <si>
    <t>Antal m2</t>
  </si>
  <si>
    <t>Dusch WC</t>
  </si>
  <si>
    <t>Snittflöde l/s/m2 driftstid (för dimensionering effekt)</t>
  </si>
  <si>
    <t>Värmeöverföringskoefficient vid maxventilation</t>
  </si>
  <si>
    <t>Småhus</t>
  </si>
  <si>
    <t>Energiförlust tappvarmvattensystem</t>
  </si>
  <si>
    <t>Specifikation för byggnadens primärenergital.</t>
  </si>
  <si>
    <t>Blekinge</t>
  </si>
  <si>
    <t>Dalarna</t>
  </si>
  <si>
    <t>Gottland</t>
  </si>
  <si>
    <t>Gävleborg</t>
  </si>
  <si>
    <t>Halland</t>
  </si>
  <si>
    <t>Jämtland</t>
  </si>
  <si>
    <t>Jönköping</t>
  </si>
  <si>
    <t>Kronoberg</t>
  </si>
  <si>
    <t>Norrbotten</t>
  </si>
  <si>
    <t>Skåne</t>
  </si>
  <si>
    <t>Stockholm</t>
  </si>
  <si>
    <t>Södermanland</t>
  </si>
  <si>
    <t>Värmland</t>
  </si>
  <si>
    <t>Västerbotten</t>
  </si>
  <si>
    <t>Västernorrland</t>
  </si>
  <si>
    <t>Västmanland</t>
  </si>
  <si>
    <t>Västra Götaland</t>
  </si>
  <si>
    <t>Östergötland</t>
  </si>
  <si>
    <t>Avesta</t>
  </si>
  <si>
    <t>Hedemora</t>
  </si>
  <si>
    <t>Säter</t>
  </si>
  <si>
    <t>Borlänge</t>
  </si>
  <si>
    <t>Gagnef</t>
  </si>
  <si>
    <t>Leksand</t>
  </si>
  <si>
    <t>Ludvika</t>
  </si>
  <si>
    <t>Mora</t>
  </si>
  <si>
    <t>Orsa</t>
  </si>
  <si>
    <t>Rättvik</t>
  </si>
  <si>
    <t>Smedjebacken</t>
  </si>
  <si>
    <t>Vansbro</t>
  </si>
  <si>
    <t>Malung-Sälen</t>
  </si>
  <si>
    <t>Älvdalen</t>
  </si>
  <si>
    <t>Fgeo</t>
  </si>
  <si>
    <t>Kommun i Blekinge</t>
  </si>
  <si>
    <t>Gävle</t>
  </si>
  <si>
    <t>Ockelbo</t>
  </si>
  <si>
    <t>Sandviken</t>
  </si>
  <si>
    <t>Bollnäs</t>
  </si>
  <si>
    <t>Hofors</t>
  </si>
  <si>
    <t>Hudiksvall</t>
  </si>
  <si>
    <t>Nordanstig</t>
  </si>
  <si>
    <t>Söderhamn</t>
  </si>
  <si>
    <t>Ljusdal</t>
  </si>
  <si>
    <t>Ovanåker</t>
  </si>
  <si>
    <t>LänFgeo</t>
  </si>
  <si>
    <t>Hylte</t>
  </si>
  <si>
    <t>Kommun i Halland utom Hylte</t>
  </si>
  <si>
    <t>Berg</t>
  </si>
  <si>
    <t>Bräcke</t>
  </si>
  <si>
    <t>Raglunda</t>
  </si>
  <si>
    <t>Östersund</t>
  </si>
  <si>
    <t>Härjedalen</t>
  </si>
  <si>
    <t>Krokom</t>
  </si>
  <si>
    <t>Strömsund</t>
  </si>
  <si>
    <t>Åre</t>
  </si>
  <si>
    <t>Aneby</t>
  </si>
  <si>
    <t>Gislaved</t>
  </si>
  <si>
    <t>Gnosjö</t>
  </si>
  <si>
    <t>Habo</t>
  </si>
  <si>
    <t>Mullsjö</t>
  </si>
  <si>
    <t>Tranås</t>
  </si>
  <si>
    <t>Vaggeryd</t>
  </si>
  <si>
    <t>Vetlanda</t>
  </si>
  <si>
    <t>Värnamo</t>
  </si>
  <si>
    <t>Eksjö</t>
  </si>
  <si>
    <t>Nässjö</t>
  </si>
  <si>
    <t>Sävsjö</t>
  </si>
  <si>
    <t>Borgholm</t>
  </si>
  <si>
    <t>Emmaboda</t>
  </si>
  <si>
    <t>Mönsterås</t>
  </si>
  <si>
    <t>Mörbylånga</t>
  </si>
  <si>
    <t>Nybro</t>
  </si>
  <si>
    <t>Oskarshamn</t>
  </si>
  <si>
    <t>Torsås</t>
  </si>
  <si>
    <t>Västervik</t>
  </si>
  <si>
    <t>Hultsfred</t>
  </si>
  <si>
    <t>Högsby</t>
  </si>
  <si>
    <t>Vimmerby</t>
  </si>
  <si>
    <t>Piteå</t>
  </si>
  <si>
    <t>Boden</t>
  </si>
  <si>
    <t>Kalix</t>
  </si>
  <si>
    <t>Älvsbyn</t>
  </si>
  <si>
    <t>Arvidsjaur</t>
  </si>
  <si>
    <t>Överkalix</t>
  </si>
  <si>
    <t>Övertorneå</t>
  </si>
  <si>
    <t>Arjeplog</t>
  </si>
  <si>
    <t>Pajala</t>
  </si>
  <si>
    <t>Gällivare</t>
  </si>
  <si>
    <t>Kiruna</t>
  </si>
  <si>
    <t>Höganäs</t>
  </si>
  <si>
    <t>Landskrona</t>
  </si>
  <si>
    <t>Lomma</t>
  </si>
  <si>
    <t>Malmö</t>
  </si>
  <si>
    <t>Vellinge</t>
  </si>
  <si>
    <t>Bjuv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</si>
  <si>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</si>
  <si>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</si>
  <si>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</si>
  <si>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</si>
  <si>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</si>
  <si>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</si>
  <si>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</si>
  <si>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</si>
  <si>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</si>
  <si>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</si>
  <si>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</si>
  <si>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</si>
  <si>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</si>
  <si>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</si>
  <si>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</si>
  <si>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</si>
  <si>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</si>
  <si>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</si>
  <si>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</si>
  <si>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</si>
  <si>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Ystad</t>
  </si>
  <si>
    <t>Åstorp</t>
  </si>
  <si>
    <t>Östra Göinge</t>
  </si>
  <si>
    <t>Osby</t>
  </si>
  <si>
    <t>Örkelljunga</t>
  </si>
  <si>
    <t>Kommun i Stockholm län</t>
  </si>
  <si>
    <t>Kommun i Kronoberg län</t>
  </si>
  <si>
    <t>Kommun i Södermanland län</t>
  </si>
  <si>
    <t>Enköping</t>
  </si>
  <si>
    <t>Håbo</t>
  </si>
  <si>
    <t>Knivsta</t>
  </si>
  <si>
    <t>Heby</t>
  </si>
  <si>
    <t>Tierp</t>
  </si>
  <si>
    <t>Älvkarleby</t>
  </si>
  <si>
    <t>Östhammar</t>
  </si>
  <si>
    <t>Grums</t>
  </si>
  <si>
    <t>Säffle</t>
  </si>
  <si>
    <t>Arvika</t>
  </si>
  <si>
    <t>Eda</t>
  </si>
  <si>
    <t>Forshaga</t>
  </si>
  <si>
    <t>Filipstad</t>
  </si>
  <si>
    <t>Hammarö</t>
  </si>
  <si>
    <t>Kil</t>
  </si>
  <si>
    <t>Kristinehamn</t>
  </si>
  <si>
    <t>Munkfors</t>
  </si>
  <si>
    <t>Storfors</t>
  </si>
  <si>
    <t>Sunne</t>
  </si>
  <si>
    <t>Årjäng</t>
  </si>
  <si>
    <t>Hagfors</t>
  </si>
  <si>
    <t>Torsby</t>
  </si>
  <si>
    <t>Umeå</t>
  </si>
  <si>
    <t>Bjurholm</t>
  </si>
  <si>
    <t>Robertsfors</t>
  </si>
  <si>
    <t>Skellefteå</t>
  </si>
  <si>
    <t>Vännäs</t>
  </si>
  <si>
    <t>Dorotea</t>
  </si>
  <si>
    <t>Vindeln</t>
  </si>
  <si>
    <t>Åsele</t>
  </si>
  <si>
    <t>Malå</t>
  </si>
  <si>
    <t>Norsjö</t>
  </si>
  <si>
    <t>Sorsele</t>
  </si>
  <si>
    <t>Storuman</t>
  </si>
  <si>
    <t>Härnösand</t>
  </si>
  <si>
    <t>Kramfors</t>
  </si>
  <si>
    <t>Sundsvall</t>
  </si>
  <si>
    <t>Timrå</t>
  </si>
  <si>
    <t>Örnsköldsvik</t>
  </si>
  <si>
    <t>Sollefteå</t>
  </si>
  <si>
    <t>Ånge</t>
  </si>
  <si>
    <t>Arboga</t>
  </si>
  <si>
    <t>Hallstahammar</t>
  </si>
  <si>
    <t>Köping</t>
  </si>
  <si>
    <t>Surahammar</t>
  </si>
  <si>
    <t>Västerås</t>
  </si>
  <si>
    <t>Fagersta</t>
  </si>
  <si>
    <t>Norberg</t>
  </si>
  <si>
    <t>Sala</t>
  </si>
  <si>
    <t>Skinnskatteberg</t>
  </si>
  <si>
    <t>Göteborg</t>
  </si>
  <si>
    <t>Härryda</t>
  </si>
  <si>
    <t>Kungälv</t>
  </si>
  <si>
    <t>Lerum</t>
  </si>
  <si>
    <t>Lysekil</t>
  </si>
  <si>
    <t>Mölndal</t>
  </si>
  <si>
    <t>Orust</t>
  </si>
  <si>
    <t>Partille</t>
  </si>
  <si>
    <t>Sotenäs</t>
  </si>
  <si>
    <t>Stenungsund</t>
  </si>
  <si>
    <t>Strömstad</t>
  </si>
  <si>
    <t>Tanum</t>
  </si>
  <si>
    <t>Uddevalla</t>
  </si>
  <si>
    <t>Öckerö</t>
  </si>
  <si>
    <t>Ale</t>
  </si>
  <si>
    <t>Alingsås</t>
  </si>
  <si>
    <t>Bengtsfors</t>
  </si>
  <si>
    <t>Bollebygd</t>
  </si>
  <si>
    <t>Borås</t>
  </si>
  <si>
    <t>Essunga</t>
  </si>
  <si>
    <t>Falköping</t>
  </si>
  <si>
    <t>Färgelanda</t>
  </si>
  <si>
    <t>Grästorp</t>
  </si>
  <si>
    <t>Gullspång</t>
  </si>
  <si>
    <t>Götene</t>
  </si>
  <si>
    <t>Herrljunga</t>
  </si>
  <si>
    <t>Hjo</t>
  </si>
  <si>
    <t>Karlsborg</t>
  </si>
  <si>
    <t>Lidköping</t>
  </si>
  <si>
    <t>Lilla Edet</t>
  </si>
  <si>
    <t>Mariestad</t>
  </si>
  <si>
    <t>Mark</t>
  </si>
  <si>
    <t>Mellerud</t>
  </si>
  <si>
    <t>Munkedal</t>
  </si>
  <si>
    <t>Skara</t>
  </si>
  <si>
    <t>Skövde</t>
  </si>
  <si>
    <t>Tibro</t>
  </si>
  <si>
    <t>Tidaholm</t>
  </si>
  <si>
    <t>Trollhättan</t>
  </si>
  <si>
    <t>Töreboda</t>
  </si>
  <si>
    <t>Vara</t>
  </si>
  <si>
    <t>Vårgårda</t>
  </si>
  <si>
    <t>Åmål</t>
  </si>
  <si>
    <t>Tranemo</t>
  </si>
  <si>
    <t>Ulricehamn</t>
  </si>
  <si>
    <t>Kumla</t>
  </si>
  <si>
    <t>Laxå</t>
  </si>
  <si>
    <t>Lekeberg</t>
  </si>
  <si>
    <t>Askersund</t>
  </si>
  <si>
    <t>Degerfors</t>
  </si>
  <si>
    <t>Hällefors</t>
  </si>
  <si>
    <t>Karlskoga</t>
  </si>
  <si>
    <t>Lindesberg</t>
  </si>
  <si>
    <t>Nora</t>
  </si>
  <si>
    <t>Ljusnarsberg</t>
  </si>
  <si>
    <t>Kommun i Östergötland</t>
  </si>
  <si>
    <t>Kommun</t>
  </si>
  <si>
    <t>Västra_Götaland</t>
  </si>
  <si>
    <t xml:space="preserve">Kommun </t>
  </si>
  <si>
    <t>Län  - Anges för att kunna välja Kommun</t>
  </si>
  <si>
    <t>Värmekälla uppvärmning</t>
  </si>
  <si>
    <t>Elektrisk energiåtgång för fläktar och cirkulationspumpar.</t>
  </si>
  <si>
    <t>Dimensionerande Vinterutetemperatur DVUT baserat på temperatur 1981-2010 - Framtaget av SMHI på uppdrag av Boverket 2016</t>
  </si>
  <si>
    <t>Ortnr</t>
  </si>
  <si>
    <t>Latitud</t>
  </si>
  <si>
    <t>Longitud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</si>
  <si>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</si>
  <si>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</si>
  <si>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</si>
  <si>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</si>
  <si>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</si>
  <si>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</si>
  <si>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</si>
  <si>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</si>
  <si>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</si>
  <si>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</si>
  <si>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</si>
  <si>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</si>
  <si>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</si>
  <si>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</si>
  <si>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Alvesta</t>
  </si>
  <si>
    <t>Botkyrka</t>
  </si>
  <si>
    <t>Danderyd</t>
  </si>
  <si>
    <t>Delsbo</t>
  </si>
  <si>
    <t>Edsbyn</t>
  </si>
  <si>
    <t>Eskilstuna</t>
  </si>
  <si>
    <t>Falkenberg</t>
  </si>
  <si>
    <t>Films Kyrkby</t>
  </si>
  <si>
    <t>Finspång</t>
  </si>
  <si>
    <t>Flen</t>
  </si>
  <si>
    <t>Fredrika</t>
  </si>
  <si>
    <t>Föllinge</t>
  </si>
  <si>
    <t>Gnesta</t>
  </si>
  <si>
    <t>Gäddede</t>
  </si>
  <si>
    <t>Hallsberg</t>
  </si>
  <si>
    <t>Halmstad</t>
  </si>
  <si>
    <t>Haninge</t>
  </si>
  <si>
    <t>Haparanda</t>
  </si>
  <si>
    <t>Hemavan</t>
  </si>
  <si>
    <t>Hemse</t>
  </si>
  <si>
    <t>Huddinge</t>
  </si>
  <si>
    <t>Junsele</t>
  </si>
  <si>
    <t>Järfälla</t>
  </si>
  <si>
    <t>Karesuando</t>
  </si>
  <si>
    <t>Karlshamn</t>
  </si>
  <si>
    <t>Karlskrona</t>
  </si>
  <si>
    <t>Katrineholm</t>
  </si>
  <si>
    <t>Kisa</t>
  </si>
  <si>
    <t>Kopparberg</t>
  </si>
  <si>
    <t>Kungsbacka</t>
  </si>
  <si>
    <t>Kungsör</t>
  </si>
  <si>
    <t>Kvikkjokk</t>
  </si>
  <si>
    <t>Laholm</t>
  </si>
  <si>
    <t>Lessebo</t>
  </si>
  <si>
    <t>Lidingö</t>
  </si>
  <si>
    <t>Linköping</t>
  </si>
  <si>
    <t>Ljungby</t>
  </si>
  <si>
    <t>Malexander</t>
  </si>
  <si>
    <t>Markaryd</t>
  </si>
  <si>
    <t>Mjölby</t>
  </si>
  <si>
    <t>Motala</t>
  </si>
  <si>
    <t>Märsta</t>
  </si>
  <si>
    <t>Nacka</t>
  </si>
  <si>
    <t>Nordmaling</t>
  </si>
  <si>
    <t>Norrtälje</t>
  </si>
  <si>
    <t>Nykvarn</t>
  </si>
  <si>
    <t>Nyköping</t>
  </si>
  <si>
    <t>Nynäshamn</t>
  </si>
  <si>
    <t>Olofström</t>
  </si>
  <si>
    <t>Oxelösund</t>
  </si>
  <si>
    <t>Ritsem</t>
  </si>
  <si>
    <t>Ronneby</t>
  </si>
  <si>
    <t>Salem</t>
  </si>
  <si>
    <t>Sigtuna</t>
  </si>
  <si>
    <t>Sollentuna</t>
  </si>
  <si>
    <t>Solna</t>
  </si>
  <si>
    <t>Storlien</t>
  </si>
  <si>
    <t>Strängnäs</t>
  </si>
  <si>
    <t>Sundbyberg</t>
  </si>
  <si>
    <t>Svenljunga</t>
  </si>
  <si>
    <t>Sälen-Högfjällshotell</t>
  </si>
  <si>
    <t>Särna</t>
  </si>
  <si>
    <t>Söderköping</t>
  </si>
  <si>
    <t>Sölvesborg</t>
  </si>
  <si>
    <t>Tingsryd</t>
  </si>
  <si>
    <t>Tjörn</t>
  </si>
  <si>
    <t>Trosa</t>
  </si>
  <si>
    <t>Tyresö</t>
  </si>
  <si>
    <t>Täby</t>
  </si>
  <si>
    <t>Tännäs</t>
  </si>
  <si>
    <t>Tärnsjö</t>
  </si>
  <si>
    <t>Ullared</t>
  </si>
  <si>
    <t>Upplands-Bro</t>
  </si>
  <si>
    <t>Upplands-Väsby</t>
  </si>
  <si>
    <t>Vadstena</t>
  </si>
  <si>
    <t>Valdermarsvik</t>
  </si>
  <si>
    <t>Vallentuna</t>
  </si>
  <si>
    <t>Varberg</t>
  </si>
  <si>
    <t>Vaxholm</t>
  </si>
  <si>
    <t>Vilhelmina</t>
  </si>
  <si>
    <t>Vingåker</t>
  </si>
  <si>
    <t>Vänersborg</t>
  </si>
  <si>
    <t>Värmdö</t>
  </si>
  <si>
    <t>Ydre</t>
  </si>
  <si>
    <t>Åseda</t>
  </si>
  <si>
    <t>Åtvidaberg</t>
  </si>
  <si>
    <t>Älmhult</t>
  </si>
  <si>
    <t>Ängelholm</t>
  </si>
  <si>
    <t>Ödeshög</t>
  </si>
  <si>
    <t>Österåker</t>
  </si>
  <si>
    <t>Östmark</t>
  </si>
  <si>
    <t>x</t>
  </si>
  <si>
    <t>Samma som Härjedalen i Jämtlands län</t>
  </si>
  <si>
    <t>Västra götaland</t>
  </si>
  <si>
    <t>i härjedalen i Jämtlands län</t>
  </si>
  <si>
    <t>Dals-Ed</t>
  </si>
  <si>
    <t>Ed ligger i Dals-ed</t>
  </si>
  <si>
    <t>Kommun i Gottland</t>
  </si>
  <si>
    <t>Samma som Storuman i Västerbotten län
Utgår då Storuman finns</t>
  </si>
  <si>
    <t>Utgår då den ligger i strömsund kommun i jämtland län
Strömsund finns i båda</t>
  </si>
  <si>
    <t>Utgår då det finns Torsby värmland</t>
  </si>
  <si>
    <t>Utgår Samma som Hebyi Uppsala</t>
  </si>
  <si>
    <t>Utgår finns  lidköpings kommun i Västra götaland</t>
  </si>
  <si>
    <t>Kommun i Hälsingland</t>
  </si>
  <si>
    <t xml:space="preserve">Utgår samma som  Älvdalen </t>
  </si>
  <si>
    <t>Utgår finns Åre kommun i jämtland</t>
  </si>
  <si>
    <t>Utgår Ovanåker finns</t>
  </si>
  <si>
    <t>Utgår Samma som sollefteå som finns i Västernorrlands län</t>
  </si>
  <si>
    <t>Utgår då den är samma som Östersund</t>
  </si>
  <si>
    <t>Fgeocopy</t>
  </si>
  <si>
    <t>Kommun / ort</t>
  </si>
  <si>
    <t>Utgår då den är svår att hitta primärtalsort till</t>
  </si>
  <si>
    <t>Charlottenberg ligger i Eda kommun</t>
  </si>
  <si>
    <t>Charlottenberg</t>
  </si>
  <si>
    <t>Broby</t>
  </si>
  <si>
    <t>Ed</t>
  </si>
  <si>
    <t>Falsterbo</t>
  </si>
  <si>
    <t>Hammarstrand</t>
  </si>
  <si>
    <t>Hede</t>
  </si>
  <si>
    <t>Hova</t>
  </si>
  <si>
    <t>Hyltebruk</t>
  </si>
  <si>
    <t>Kinna</t>
  </si>
  <si>
    <t>Skutskär</t>
  </si>
  <si>
    <t>Svenstavik</t>
  </si>
  <si>
    <t>DVUT utan passande orter med primärtal.</t>
  </si>
  <si>
    <t>Primärort</t>
  </si>
  <si>
    <t>Avvikande DVUT-orter</t>
  </si>
  <si>
    <t>Originaldata att utgå från om det sker ändringar i BBR</t>
  </si>
  <si>
    <t>DVUT Ort</t>
  </si>
  <si>
    <t>DVUT Ortnr</t>
  </si>
  <si>
    <t>DVUT ort</t>
  </si>
  <si>
    <t>Primärtalsort</t>
  </si>
  <si>
    <t>Representativ ort för dimensionerande utetemperatur</t>
  </si>
  <si>
    <t xml:space="preserve">9-dygn </t>
  </si>
  <si>
    <t xml:space="preserve">10-dygn </t>
  </si>
  <si>
    <t xml:space="preserve">11-dygn </t>
  </si>
  <si>
    <t xml:space="preserve">12-dygn </t>
  </si>
  <si>
    <t>Beräknad energianvändning för uppvärmning &amp; ventilation:</t>
  </si>
  <si>
    <t>Års-COP VV kallast DVUT</t>
  </si>
  <si>
    <t>Åres-COP VV varmast DVUT</t>
  </si>
  <si>
    <t>Valt</t>
  </si>
  <si>
    <t>Års-COP värme kallast DVUT -35</t>
  </si>
  <si>
    <t>Års-COP värme varmast DVUT -9,4</t>
  </si>
  <si>
    <t xml:space="preserve">DVUT </t>
  </si>
  <si>
    <t>Interpolerad ÅrsCOP</t>
  </si>
  <si>
    <t>Verkningsgrad /års- COP värmesystem för uppvärmning</t>
  </si>
  <si>
    <t xml:space="preserve"> 3 Fastighetsenergi, ventilation &amp; installationer.</t>
  </si>
  <si>
    <t>FSP Fläktmotorer</t>
  </si>
  <si>
    <t>W//l/s</t>
  </si>
  <si>
    <t>Flyttad till vv beredning</t>
  </si>
  <si>
    <t>El</t>
  </si>
  <si>
    <t>Pei</t>
  </si>
  <si>
    <t>Eppet</t>
  </si>
  <si>
    <t>BBR25/26</t>
  </si>
  <si>
    <t>Hustyp</t>
  </si>
  <si>
    <t>Kravtabell energiprestanda</t>
  </si>
  <si>
    <t>Area
justering</t>
  </si>
  <si>
    <t>(Q -0,35) l/s
Positiv</t>
  </si>
  <si>
    <t>Max effekt med Fgeo</t>
  </si>
  <si>
    <t>Tot maxeffek</t>
  </si>
  <si>
    <t>Max Um</t>
  </si>
  <si>
    <t>Flerbostadshus lght &lt; 35 m2</t>
  </si>
  <si>
    <t>Flerbostadshus</t>
  </si>
  <si>
    <t>Maxgräns</t>
  </si>
  <si>
    <t>MaxCOP
@DVUT</t>
  </si>
  <si>
    <t>MinCOP
@DVUT</t>
  </si>
  <si>
    <t>DELTA TEMP</t>
  </si>
  <si>
    <t>MINTEMP</t>
  </si>
  <si>
    <t>INTERPOLERAD COP VID DVUT</t>
  </si>
  <si>
    <t>DELTA-COP</t>
  </si>
  <si>
    <t>kW</t>
  </si>
  <si>
    <t xml:space="preserve">Typ av byggnad : </t>
  </si>
  <si>
    <t xml:space="preserve">Beräkningen utförd av : </t>
  </si>
  <si>
    <t>1 Uppvärmning</t>
  </si>
  <si>
    <t>Verkningsgrad: års-COP för värmesystemet uppvärmning av varmvatten</t>
  </si>
  <si>
    <t>Ventilationstyp</t>
  </si>
  <si>
    <t>Energiåtgång övrig fastighetsel</t>
  </si>
  <si>
    <t>2 Tappvarmvatten</t>
  </si>
  <si>
    <t>BBR 25/26 Beräknade nyckeltal</t>
  </si>
  <si>
    <t>Nyckeltal  - utöver  BBR redovisning</t>
  </si>
  <si>
    <t>Energiåtgång för fastighetens installationer: totalt</t>
  </si>
  <si>
    <t>Typ av lokal</t>
  </si>
  <si>
    <t>Energibalansberäkningen är utförd med EnergyCalc  enligt ISO 13790, se bilaga.
Indata anpassade enligt BEN1-3</t>
  </si>
  <si>
    <t>Tidskonstant (värmetröghet i byggnaden )</t>
  </si>
  <si>
    <t>Beräknad</t>
  </si>
  <si>
    <t>kWh//år</t>
  </si>
  <si>
    <t>Vald års-COP värme</t>
  </si>
  <si>
    <t>Vald års-COP VV</t>
  </si>
  <si>
    <t>Beräknad Års-COP värme</t>
  </si>
  <si>
    <t>BeräknadÅrs-COP VV</t>
  </si>
  <si>
    <t>Standardiserade indata för energiberäkning för bostäder enl. BEN-1..3</t>
  </si>
  <si>
    <t>skriv över med egen kommentar</t>
  </si>
  <si>
    <t>BBR - påverkande indata.</t>
  </si>
  <si>
    <t>mod(kWh/år)</t>
  </si>
  <si>
    <t>Netto energi (köpt) för uppvärmning &amp; ventilationförluster.</t>
  </si>
  <si>
    <t>Total netto energiförbrukning (köpt energi ) för värme varmvatten och fastighetsenergi.</t>
  </si>
  <si>
    <t>Netto energi (köpt) för varmvatten( Etvvv)</t>
  </si>
  <si>
    <t>Nett0 effekt (köpt) uppvärmning VV. 500 W brutto / lgh enl BBR</t>
  </si>
  <si>
    <t>4 BBR -Primärtal delparametrar</t>
  </si>
  <si>
    <t>Primär-energital Uppv</t>
  </si>
  <si>
    <t>PFakt Fast el</t>
  </si>
  <si>
    <t>Gaspanna</t>
  </si>
  <si>
    <t>Formula</t>
  </si>
  <si>
    <t>ƞ</t>
  </si>
  <si>
    <t>Mellanresultat enl BEN-1..3</t>
  </si>
  <si>
    <t>Solinstrålning fönster</t>
  </si>
  <si>
    <t>kW (El)</t>
  </si>
  <si>
    <t>Primärtal tillägg hög ventilation</t>
  </si>
  <si>
    <t>Summa primärtal</t>
  </si>
  <si>
    <t>Maxgräns luftflöde</t>
  </si>
  <si>
    <t>Maxgräns varningstext</t>
  </si>
  <si>
    <t>Betydelselös</t>
  </si>
  <si>
    <t>Ventilation medel, om den är större än 0,35(även vid DVUT)</t>
  </si>
  <si>
    <t>Brutto effekt för uppvärmning VV. 500 W brutto / lgh enl BBR</t>
  </si>
  <si>
    <t>Total erforderlig energiförbrukning för uppvärmning av byggnaden och varmvatten</t>
  </si>
  <si>
    <t>Därav eleffekt</t>
  </si>
  <si>
    <t>Totalt netto energi för uppvärmning och varmvatten. Hänsyn tagen till värmesystemets verkningsgrad.</t>
  </si>
  <si>
    <t>Hög ventillation
justering
effekt</t>
  </si>
  <si>
    <t xml:space="preserve">Byggnadens beräknade primärenergital (EPpet) </t>
  </si>
  <si>
    <t>modifierad
kWh/m2/år</t>
  </si>
  <si>
    <t>Byggnadens primärenergital    EPpet</t>
  </si>
  <si>
    <t>Specefik energi: (köpt energi för uppvärmning, VV. och fastighetsel) / Atemp</t>
  </si>
  <si>
    <t>BEN / Direktverkande El</t>
  </si>
  <si>
    <t>BEN / Fjärrvärme</t>
  </si>
  <si>
    <t>BEN / Frånluftsvärmepump</t>
  </si>
  <si>
    <t>BEN / Jord/berg/sjö värmepump</t>
  </si>
  <si>
    <t>BEN / Luft /Vatten värmepump</t>
  </si>
  <si>
    <t>BEN / Oljepanna</t>
  </si>
  <si>
    <t>BEN / Pellets, ved, flis panna</t>
  </si>
  <si>
    <t>Luft /Vatten värmepump besparing @BEN</t>
  </si>
  <si>
    <t>Frånluftsvärmepump besparing @BEN</t>
  </si>
  <si>
    <t>Jord/Berg -värmepump besparing @BEN</t>
  </si>
  <si>
    <t>Oljepanna verkningsgradsförlust @BEN</t>
  </si>
  <si>
    <t>Pellets / vedpanna verkningsgradsförlust @BEN</t>
  </si>
  <si>
    <t>Gaspanna verkningsgradsförlust (-)</t>
  </si>
  <si>
    <t>BEN / Gaspanna</t>
  </si>
  <si>
    <t>Gaspanna verkningsgradsförlust @BEN</t>
  </si>
  <si>
    <t>FTX</t>
  </si>
  <si>
    <t>Direktel VV</t>
  </si>
  <si>
    <t>Information om energiberäkningar vid bygganmälan hämtade från: Boverkets byggregler - BBR 18 t.om. BBR 28  / BFS 2011:6 t.om. 2019:2 samt BEN-3</t>
  </si>
  <si>
    <t>Indata BEN-1..3 BFS 2011:6 t.om.  BFS 2019:2  BBR 28</t>
  </si>
  <si>
    <r>
      <t xml:space="preserve"> </t>
    </r>
    <r>
      <rPr>
        <b/>
        <sz val="10"/>
        <color indexed="8"/>
        <rFont val="Arial"/>
        <family val="2"/>
      </rPr>
      <t>Ort temperatur</t>
    </r>
  </si>
  <si>
    <t>Kommun för Fgeo</t>
  </si>
  <si>
    <t>Skriv över med egen rubrik för eventuell gratsienergi som t.ex Solfångare</t>
  </si>
  <si>
    <t>(Fgeo - 1) 
alltid &gt;=0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</si>
</sst>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0.000"/>
  </numFmts>
  <fonts count="36" x14ac:knownFonts="1">
    <font>
      <sz val="10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2"/>
      <color indexed="8"/>
      <name val="Arial;Arial"/>
      <family val="2"/>
      <charset val="1"/>
    </font>
    <font>
      <sz val="10"/>
      <color indexed="8"/>
      <name val="Arial;Arial"/>
      <family val="2"/>
      <charset val="1"/>
    </font>
    <font>
      <sz val="12"/>
      <name val="Arial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</font>
    <font>
      <sz val="10"/>
      <color indexed="57"/>
      <name val="Arial"/>
    </font>
    <font>
      <sz val="10"/>
      <color indexed="17"/>
      <name val="Arial"/>
    </font>
    <font>
      <sz val="10"/>
      <color indexed="62"/>
      <name val="Arial"/>
    </font>
    <font>
      <sz val="10"/>
      <color indexed="62"/>
      <name val="Arial"/>
    </font>
    <font>
      <sz val="11"/>
      <color indexed="8"/>
      <name val="Calibri"/>
    </font>
    <font>
      <b/>
      <sz val="10"/>
      <color indexed="10"/>
      <name val="Arial"/>
    </font>
    <font>
      <b/>
      <sz val="10"/>
      <color indexed="57"/>
      <name val="Arial"/>
    </font>
    <font>
      <b/>
      <sz val="11"/>
      <name val="Arial"/>
    </font>
    <font>
      <sz val="11"/>
      <name val="Arial"/>
    </font>
    <font>
      <sz val="12"/>
      <name val="Calibri"/>
      <family val="2"/>
    </font>
    <font>
      <sz val="10"/>
      <color indexed="81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4"/>
        <bgColor indexed="43"/>
      </patternFill>
    </fill>
    <fill>
      <patternFill patternType="solid">
        <fgColor indexed="19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15"/>
      </patternFill>
    </fill>
    <fill>
      <patternFill patternType="solid">
        <fgColor indexed="1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2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17"/>
      </patternFill>
    </fill>
    <fill>
      <patternFill patternType="solid">
        <fgColor indexed="17"/>
        <bgColor indexed="11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43"/>
      </patternFill>
    </fill>
    <fill>
      <patternFill patternType="solid">
        <fgColor indexed="22"/>
        <bgColor indexed="3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43"/>
      </patternFill>
    </fill>
    <fill>
      <patternFill patternType="solid">
        <fgColor indexed="47"/>
        <bgColor indexed="27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Fill="1" applyAlignment="1"/>
    <xf numFmtId="0" fontId="0" fillId="0" borderId="0" xfId="0" applyAlignment="1">
      <alignment horizontal="right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/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6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" fillId="6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0" fillId="6" borderId="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8" fillId="0" borderId="0" xfId="0" applyFont="1"/>
    <xf numFmtId="0" fontId="0" fillId="6" borderId="3" xfId="0" applyFill="1" applyBorder="1"/>
    <xf numFmtId="0" fontId="0" fillId="6" borderId="0" xfId="0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6" borderId="9" xfId="0" applyFill="1" applyBorder="1"/>
    <xf numFmtId="0" fontId="0" fillId="6" borderId="10" xfId="0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/>
    <xf numFmtId="0" fontId="0" fillId="0" borderId="11" xfId="0" applyBorder="1" applyAlignment="1">
      <alignment horizontal="center"/>
    </xf>
    <xf numFmtId="0" fontId="12" fillId="0" borderId="12" xfId="0" applyFont="1" applyBorder="1"/>
    <xf numFmtId="0" fontId="10" fillId="0" borderId="12" xfId="0" applyFont="1" applyBorder="1"/>
    <xf numFmtId="0" fontId="8" fillId="0" borderId="12" xfId="0" applyFont="1" applyBorder="1"/>
    <xf numFmtId="0" fontId="0" fillId="7" borderId="11" xfId="0" applyFill="1" applyBorder="1"/>
    <xf numFmtId="0" fontId="8" fillId="0" borderId="0" xfId="0" applyNumberFormat="1" applyFont="1"/>
    <xf numFmtId="0" fontId="8" fillId="0" borderId="0" xfId="0" applyFont="1" applyAlignment="1">
      <alignment vertical="center"/>
    </xf>
    <xf numFmtId="1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horizontal="right"/>
    </xf>
    <xf numFmtId="0" fontId="0" fillId="5" borderId="0" xfId="0" applyFill="1"/>
    <xf numFmtId="0" fontId="0" fillId="0" borderId="0" xfId="0" applyFont="1"/>
    <xf numFmtId="0" fontId="13" fillId="0" borderId="0" xfId="0" applyFont="1"/>
    <xf numFmtId="1" fontId="13" fillId="0" borderId="0" xfId="0" applyNumberFormat="1" applyFont="1" applyAlignment="1">
      <alignment horizontal="right"/>
    </xf>
    <xf numFmtId="0" fontId="14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right"/>
    </xf>
    <xf numFmtId="0" fontId="0" fillId="4" borderId="13" xfId="0" applyFont="1" applyFill="1" applyBorder="1"/>
    <xf numFmtId="0" fontId="0" fillId="5" borderId="13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right" wrapText="1"/>
    </xf>
    <xf numFmtId="0" fontId="0" fillId="3" borderId="13" xfId="0" applyFill="1" applyBorder="1" applyAlignment="1">
      <alignment horizontal="center" wrapText="1"/>
    </xf>
    <xf numFmtId="0" fontId="3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2" fontId="0" fillId="8" borderId="13" xfId="0" applyNumberFormat="1" applyFill="1" applyBorder="1" applyAlignment="1">
      <alignment horizontal="center" wrapText="1"/>
    </xf>
    <xf numFmtId="164" fontId="0" fillId="3" borderId="13" xfId="0" applyNumberFormat="1" applyFill="1" applyBorder="1" applyAlignment="1">
      <alignment horizontal="center" wrapText="1"/>
    </xf>
    <xf numFmtId="2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0" fontId="1" fillId="4" borderId="13" xfId="0" applyFont="1" applyFill="1" applyBorder="1" applyAlignment="1">
      <alignment horizontal="right" wrapText="1"/>
    </xf>
    <xf numFmtId="0" fontId="0" fillId="4" borderId="13" xfId="0" applyFill="1" applyBorder="1" applyAlignment="1">
      <alignment horizontal="center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right" wrapText="1"/>
    </xf>
    <xf numFmtId="0" fontId="0" fillId="4" borderId="13" xfId="0" applyFill="1" applyBorder="1" applyAlignment="1">
      <alignment horizontal="left"/>
    </xf>
    <xf numFmtId="0" fontId="0" fillId="9" borderId="13" xfId="0" applyFont="1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6" borderId="13" xfId="0" applyFont="1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7" fillId="6" borderId="13" xfId="0" applyFont="1" applyFill="1" applyBorder="1"/>
    <xf numFmtId="0" fontId="0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 wrapText="1"/>
    </xf>
    <xf numFmtId="2" fontId="6" fillId="6" borderId="13" xfId="0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0" fillId="6" borderId="13" xfId="0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6" borderId="0" xfId="0" applyFill="1" applyBorder="1"/>
    <xf numFmtId="0" fontId="0" fillId="4" borderId="13" xfId="0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Border="1"/>
    <xf numFmtId="0" fontId="17" fillId="4" borderId="13" xfId="0" applyFont="1" applyFill="1" applyBorder="1" applyAlignment="1">
      <alignment wrapText="1"/>
    </xf>
    <xf numFmtId="0" fontId="17" fillId="8" borderId="13" xfId="0" applyFont="1" applyFill="1" applyBorder="1" applyAlignment="1">
      <alignment horizontal="center" wrapText="1"/>
    </xf>
    <xf numFmtId="0" fontId="0" fillId="11" borderId="0" xfId="0" applyFill="1" applyBorder="1"/>
    <xf numFmtId="0" fontId="0" fillId="12" borderId="0" xfId="0" applyFill="1"/>
    <xf numFmtId="0" fontId="0" fillId="12" borderId="0" xfId="0" applyFill="1" applyAlignment="1">
      <alignment vertical="center"/>
    </xf>
    <xf numFmtId="0" fontId="6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6" borderId="13" xfId="0" applyFill="1" applyBorder="1" applyAlignment="1">
      <alignment vertical="center" wrapText="1"/>
    </xf>
    <xf numFmtId="2" fontId="0" fillId="13" borderId="0" xfId="0" applyNumberFormat="1" applyFill="1" applyAlignment="1">
      <alignment horizontal="center"/>
    </xf>
    <xf numFmtId="0" fontId="0" fillId="1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6" fillId="1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hidden="1"/>
    </xf>
    <xf numFmtId="1" fontId="0" fillId="0" borderId="0" xfId="0" applyNumberFormat="1" applyBorder="1"/>
    <xf numFmtId="167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Fill="1"/>
    <xf numFmtId="0" fontId="6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2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 wrapText="1"/>
    </xf>
    <xf numFmtId="2" fontId="0" fillId="15" borderId="11" xfId="0" applyNumberForma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1" xfId="0" applyNumberFormat="1" applyBorder="1"/>
    <xf numFmtId="167" fontId="0" fillId="16" borderId="11" xfId="0" applyNumberFormat="1" applyFill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15" borderId="11" xfId="0" applyNumberFormat="1" applyFill="1" applyBorder="1" applyAlignment="1">
      <alignment horizontal="center" wrapText="1"/>
    </xf>
    <xf numFmtId="2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17" borderId="0" xfId="0" applyNumberFormat="1" applyFill="1" applyAlignment="1">
      <alignment horizontal="center" wrapText="1"/>
    </xf>
    <xf numFmtId="2" fontId="0" fillId="17" borderId="0" xfId="0" applyNumberFormat="1" applyFill="1" applyAlignment="1">
      <alignment horizontal="center"/>
    </xf>
    <xf numFmtId="0" fontId="0" fillId="0" borderId="11" xfId="0" applyBorder="1" applyAlignment="1">
      <alignment wrapText="1"/>
    </xf>
    <xf numFmtId="167" fontId="0" fillId="18" borderId="11" xfId="0" applyNumberFormat="1" applyFill="1" applyBorder="1" applyAlignment="1">
      <alignment horizontal="center" wrapText="1"/>
    </xf>
    <xf numFmtId="167" fontId="0" fillId="19" borderId="11" xfId="0" applyNumberFormat="1" applyFill="1" applyBorder="1" applyAlignment="1">
      <alignment horizontal="center" wrapText="1"/>
    </xf>
    <xf numFmtId="2" fontId="0" fillId="19" borderId="11" xfId="0" applyNumberFormat="1" applyFill="1" applyBorder="1" applyAlignment="1">
      <alignment horizontal="center" wrapText="1"/>
    </xf>
    <xf numFmtId="0" fontId="21" fillId="0" borderId="0" xfId="0" applyFont="1"/>
    <xf numFmtId="0" fontId="0" fillId="20" borderId="0" xfId="0" applyFill="1" applyAlignment="1">
      <alignment horizontal="center"/>
    </xf>
    <xf numFmtId="0" fontId="0" fillId="6" borderId="0" xfId="0" applyFont="1" applyFill="1" applyBorder="1" applyAlignment="1">
      <alignment vertical="center"/>
    </xf>
    <xf numFmtId="0" fontId="22" fillId="0" borderId="0" xfId="0" applyFont="1"/>
    <xf numFmtId="0" fontId="23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/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8" fillId="0" borderId="0" xfId="0" applyFont="1"/>
    <xf numFmtId="0" fontId="29" fillId="0" borderId="0" xfId="0" applyFont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30" fillId="6" borderId="0" xfId="0" applyFont="1" applyFill="1" applyAlignment="1">
      <alignment horizontal="left"/>
    </xf>
    <xf numFmtId="0" fontId="24" fillId="6" borderId="0" xfId="0" applyFont="1" applyFill="1" applyAlignment="1">
      <alignment horizontal="left"/>
    </xf>
    <xf numFmtId="0" fontId="10" fillId="0" borderId="20" xfId="0" applyFont="1" applyFill="1" applyBorder="1"/>
    <xf numFmtId="164" fontId="6" fillId="6" borderId="13" xfId="0" applyNumberFormat="1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>
      <alignment vertical="center" wrapText="1"/>
    </xf>
    <xf numFmtId="0" fontId="0" fillId="22" borderId="0" xfId="0" applyFill="1"/>
    <xf numFmtId="0" fontId="0" fillId="0" borderId="11" xfId="0" applyBorder="1"/>
    <xf numFmtId="0" fontId="0" fillId="0" borderId="21" xfId="0" applyBorder="1"/>
    <xf numFmtId="0" fontId="0" fillId="0" borderId="21" xfId="0" applyBorder="1" applyAlignment="1">
      <alignment vertical="center"/>
    </xf>
    <xf numFmtId="0" fontId="0" fillId="23" borderId="11" xfId="0" applyFill="1" applyBorder="1"/>
    <xf numFmtId="0" fontId="0" fillId="24" borderId="22" xfId="0" applyFill="1" applyBorder="1" applyAlignment="1">
      <alignment horizontal="center"/>
    </xf>
    <xf numFmtId="0" fontId="0" fillId="23" borderId="21" xfId="0" applyFill="1" applyBorder="1"/>
    <xf numFmtId="0" fontId="0" fillId="24" borderId="23" xfId="0" applyFill="1" applyBorder="1" applyAlignment="1">
      <alignment horizontal="center"/>
    </xf>
    <xf numFmtId="0" fontId="0" fillId="23" borderId="21" xfId="0" applyFill="1" applyBorder="1" applyAlignment="1">
      <alignment horizontal="righ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0" fillId="6" borderId="13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64" fontId="6" fillId="6" borderId="0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Alignment="1">
      <alignment horizontal="left" vertical="center"/>
    </xf>
    <xf numFmtId="0" fontId="6" fillId="6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2" fontId="6" fillId="1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/>
    </xf>
    <xf numFmtId="167" fontId="0" fillId="0" borderId="0" xfId="0" applyNumberFormat="1" applyAlignment="1">
      <alignment wrapText="1"/>
    </xf>
    <xf numFmtId="0" fontId="0" fillId="6" borderId="19" xfId="0" applyFont="1" applyFill="1" applyBorder="1" applyAlignment="1">
      <alignment vertical="center"/>
    </xf>
    <xf numFmtId="1" fontId="6" fillId="26" borderId="13" xfId="0" applyNumberFormat="1" applyFont="1" applyFill="1" applyBorder="1" applyAlignment="1" applyProtection="1">
      <alignment horizontal="center" vertical="center"/>
      <protection locked="0"/>
    </xf>
    <xf numFmtId="1" fontId="6" fillId="22" borderId="13" xfId="0" applyNumberFormat="1" applyFont="1" applyFill="1" applyBorder="1" applyAlignment="1" applyProtection="1">
      <alignment horizontal="center" vertical="center"/>
      <protection locked="0"/>
    </xf>
    <xf numFmtId="2" fontId="6" fillId="22" borderId="13" xfId="0" applyNumberFormat="1" applyFont="1" applyFill="1" applyBorder="1" applyAlignment="1" applyProtection="1">
      <alignment horizontal="center" vertical="center"/>
      <protection locked="0"/>
    </xf>
    <xf numFmtId="0" fontId="11" fillId="27" borderId="24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28" borderId="13" xfId="0" applyFont="1" applyFill="1" applyBorder="1" applyAlignment="1" applyProtection="1">
      <alignment vertical="center" wrapText="1"/>
      <protection hidden="1"/>
    </xf>
    <xf numFmtId="0" fontId="0" fillId="28" borderId="13" xfId="0" applyFont="1" applyFill="1" applyBorder="1" applyAlignment="1" applyProtection="1">
      <alignment horizontal="left" vertical="center"/>
      <protection hidden="1"/>
    </xf>
    <xf numFmtId="0" fontId="0" fillId="27" borderId="13" xfId="0" applyFont="1" applyFill="1" applyBorder="1" applyAlignment="1" applyProtection="1">
      <alignment vertical="center" wrapText="1"/>
      <protection hidden="1"/>
    </xf>
    <xf numFmtId="0" fontId="0" fillId="27" borderId="13" xfId="0" applyFont="1" applyFill="1" applyBorder="1" applyAlignment="1" applyProtection="1">
      <alignment horizontal="left" vertical="center"/>
      <protection hidden="1"/>
    </xf>
    <xf numFmtId="166" fontId="6" fillId="27" borderId="13" xfId="0" applyNumberFormat="1" applyFont="1" applyFill="1" applyBorder="1" applyAlignment="1" applyProtection="1">
      <alignment horizontal="center" vertical="center"/>
      <protection hidden="1"/>
    </xf>
    <xf numFmtId="165" fontId="6" fillId="28" borderId="25" xfId="0" applyNumberFormat="1" applyFont="1" applyFill="1" applyBorder="1" applyAlignment="1" applyProtection="1">
      <alignment horizontal="center" vertical="center"/>
      <protection hidden="1"/>
    </xf>
    <xf numFmtId="165" fontId="10" fillId="28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Protection="1">
      <protection hidden="1"/>
    </xf>
    <xf numFmtId="0" fontId="11" fillId="27" borderId="26" xfId="0" applyFont="1" applyFill="1" applyBorder="1" applyAlignment="1" applyProtection="1">
      <alignment horizontal="center" vertical="center"/>
      <protection hidden="1"/>
    </xf>
    <xf numFmtId="0" fontId="31" fillId="27" borderId="17" xfId="0" applyFont="1" applyFill="1" applyBorder="1" applyAlignment="1" applyProtection="1">
      <alignment horizontal="center" vertical="center"/>
      <protection hidden="1"/>
    </xf>
    <xf numFmtId="0" fontId="31" fillId="27" borderId="27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2" fillId="0" borderId="0" xfId="0" applyFont="1"/>
    <xf numFmtId="0" fontId="6" fillId="29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0" fontId="0" fillId="6" borderId="13" xfId="0" applyFont="1" applyFill="1" applyBorder="1" applyAlignment="1">
      <alignment vertical="center" wrapText="1"/>
    </xf>
    <xf numFmtId="0" fontId="0" fillId="6" borderId="0" xfId="0" applyFill="1" applyAlignment="1">
      <alignment horizontal="center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/>
    <xf numFmtId="0" fontId="0" fillId="6" borderId="0" xfId="0" applyFill="1" applyAlignment="1"/>
    <xf numFmtId="0" fontId="8" fillId="0" borderId="0" xfId="0" applyFont="1" applyAlignment="1"/>
    <xf numFmtId="2" fontId="6" fillId="22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vertical="center" wrapText="1"/>
    </xf>
    <xf numFmtId="2" fontId="0" fillId="22" borderId="0" xfId="0" applyNumberForma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0" fillId="22" borderId="0" xfId="0" applyFill="1" applyBorder="1"/>
    <xf numFmtId="0" fontId="2" fillId="22" borderId="0" xfId="0" applyFont="1" applyFill="1"/>
    <xf numFmtId="0" fontId="2" fillId="6" borderId="2" xfId="0" applyFont="1" applyFill="1" applyBorder="1" applyAlignment="1"/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167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166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/>
    <xf numFmtId="2" fontId="0" fillId="0" borderId="0" xfId="0" applyNumberFormat="1" applyFill="1"/>
    <xf numFmtId="0" fontId="33" fillId="0" borderId="0" xfId="0" applyFont="1"/>
    <xf numFmtId="2" fontId="6" fillId="30" borderId="13" xfId="0" applyNumberFormat="1" applyFont="1" applyFill="1" applyBorder="1" applyAlignment="1" applyProtection="1">
      <alignment horizontal="center" vertical="center"/>
      <protection locked="0"/>
    </xf>
    <xf numFmtId="0" fontId="6" fillId="29" borderId="13" xfId="0" applyFont="1" applyFill="1" applyBorder="1" applyAlignment="1">
      <alignment horizontal="center" vertical="center"/>
    </xf>
    <xf numFmtId="2" fontId="6" fillId="29" borderId="13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0" fillId="0" borderId="0" xfId="0" applyNumberFormat="1" applyAlignment="1"/>
    <xf numFmtId="0" fontId="3" fillId="6" borderId="0" xfId="0" applyFont="1" applyFill="1" applyAlignment="1"/>
    <xf numFmtId="0" fontId="0" fillId="0" borderId="13" xfId="0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 wrapText="1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34" fillId="6" borderId="13" xfId="0" applyFont="1" applyFill="1" applyBorder="1" applyAlignment="1">
      <alignment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2" fontId="6" fillId="31" borderId="13" xfId="0" applyNumberFormat="1" applyFont="1" applyFill="1" applyBorder="1" applyAlignment="1">
      <alignment horizontal="center" vertical="center"/>
    </xf>
    <xf numFmtId="1" fontId="6" fillId="22" borderId="13" xfId="0" applyNumberFormat="1" applyFont="1" applyFill="1" applyBorder="1" applyAlignment="1">
      <alignment horizontal="center" vertical="center"/>
    </xf>
    <xf numFmtId="2" fontId="6" fillId="22" borderId="13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22" borderId="0" xfId="0" applyFont="1" applyFill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31" borderId="13" xfId="0" applyFont="1" applyFill="1" applyBorder="1" applyAlignment="1">
      <alignment horizontal="center" vertical="center"/>
    </xf>
    <xf numFmtId="0" fontId="0" fillId="29" borderId="13" xfId="0" applyFill="1" applyBorder="1" applyAlignment="1">
      <alignment vertical="center" wrapText="1"/>
    </xf>
    <xf numFmtId="2" fontId="6" fillId="6" borderId="13" xfId="0" applyNumberFormat="1" applyFont="1" applyFill="1" applyBorder="1" applyAlignment="1">
      <alignment horizontal="center"/>
    </xf>
    <xf numFmtId="2" fontId="6" fillId="29" borderId="13" xfId="0" applyNumberFormat="1" applyFont="1" applyFill="1" applyBorder="1" applyAlignment="1">
      <alignment horizontal="center"/>
    </xf>
    <xf numFmtId="43" fontId="0" fillId="0" borderId="13" xfId="1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167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wrapText="1"/>
    </xf>
    <xf numFmtId="167" fontId="2" fillId="6" borderId="1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" fontId="6" fillId="6" borderId="13" xfId="0" applyNumberFormat="1" applyFont="1" applyFill="1" applyBorder="1" applyAlignment="1">
      <alignment horizontal="center" vertical="center" wrapText="1"/>
    </xf>
    <xf numFmtId="1" fontId="6" fillId="14" borderId="13" xfId="0" applyNumberFormat="1" applyFont="1" applyFill="1" applyBorder="1" applyAlignment="1" applyProtection="1">
      <alignment horizontal="center" vertical="center"/>
      <protection locked="0"/>
    </xf>
    <xf numFmtId="1" fontId="6" fillId="1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applyProtection="1">
      <alignment horizontal="left" vertical="center"/>
      <protection hidden="1"/>
    </xf>
    <xf numFmtId="4" fontId="6" fillId="28" borderId="13" xfId="0" applyNumberFormat="1" applyFont="1" applyFill="1" applyBorder="1" applyAlignment="1" applyProtection="1">
      <alignment horizontal="center" vertical="center"/>
      <protection hidden="1"/>
    </xf>
    <xf numFmtId="4" fontId="10" fillId="28" borderId="13" xfId="0" applyNumberFormat="1" applyFont="1" applyFill="1" applyBorder="1" applyAlignment="1" applyProtection="1">
      <alignment horizontal="left" vertical="center"/>
      <protection hidden="1"/>
    </xf>
    <xf numFmtId="2" fontId="6" fillId="27" borderId="13" xfId="0" applyNumberFormat="1" applyFont="1" applyFill="1" applyBorder="1" applyAlignment="1" applyProtection="1">
      <alignment horizontal="left" vertical="center"/>
      <protection hidden="1"/>
    </xf>
    <xf numFmtId="1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28" borderId="2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/>
    <xf numFmtId="16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ill="1" applyBorder="1" applyAlignment="1" applyProtection="1">
      <alignment horizontal="center" vertical="center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164" fontId="6" fillId="31" borderId="13" xfId="0" applyNumberFormat="1" applyFont="1" applyFill="1" applyBorder="1" applyAlignment="1">
      <alignment horizontal="center"/>
    </xf>
    <xf numFmtId="0" fontId="0" fillId="20" borderId="0" xfId="0" applyFill="1" applyAlignment="1">
      <alignment horizontal="right"/>
    </xf>
    <xf numFmtId="0" fontId="0" fillId="5" borderId="0" xfId="0" applyFill="1" applyBorder="1" applyAlignment="1" applyProtection="1">
      <alignment horizontal="right" vertical="center"/>
      <protection locked="0"/>
    </xf>
    <xf numFmtId="0" fontId="0" fillId="5" borderId="14" xfId="0" applyNumberFormat="1" applyFont="1" applyFill="1" applyBorder="1" applyAlignment="1" applyProtection="1">
      <alignment horizontal="right" vertical="center"/>
      <protection locked="0"/>
    </xf>
    <xf numFmtId="0" fontId="0" fillId="20" borderId="0" xfId="0" applyFill="1" applyAlignment="1">
      <alignment horizontal="right" wrapText="1"/>
    </xf>
    <xf numFmtId="0" fontId="0" fillId="20" borderId="0" xfId="0" applyFill="1"/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3" xfId="0" applyFont="1" applyFill="1" applyBorder="1" applyAlignment="1" applyProtection="1">
      <alignment vertical="center" wrapText="1"/>
      <protection locked="0"/>
    </xf>
    <xf numFmtId="0" fontId="0" fillId="6" borderId="31" xfId="0" applyFill="1" applyBorder="1" applyAlignment="1">
      <alignment vertical="center" wrapText="1"/>
    </xf>
    <xf numFmtId="0" fontId="0" fillId="6" borderId="32" xfId="0" applyFont="1" applyFill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8" fillId="6" borderId="34" xfId="0" applyFont="1" applyFill="1" applyBorder="1" applyAlignment="1">
      <alignment vertical="center" wrapText="1"/>
    </xf>
    <xf numFmtId="0" fontId="8" fillId="6" borderId="35" xfId="0" applyFont="1" applyFill="1" applyBorder="1" applyAlignment="1">
      <alignment vertical="center" wrapText="1"/>
    </xf>
    <xf numFmtId="0" fontId="8" fillId="6" borderId="36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28" borderId="14" xfId="0" applyFill="1" applyBorder="1" applyAlignment="1" applyProtection="1">
      <alignment horizontal="center" vertical="center"/>
      <protection hidden="1"/>
    </xf>
    <xf numFmtId="0" fontId="0" fillId="28" borderId="15" xfId="0" applyFont="1" applyFill="1" applyBorder="1" applyAlignment="1" applyProtection="1">
      <alignment horizontal="center" vertical="center"/>
      <protection hidden="1"/>
    </xf>
    <xf numFmtId="0" fontId="0" fillId="28" borderId="16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Alignment="1" applyProtection="1">
      <alignment horizontal="center" vertical="center"/>
      <protection hidden="1"/>
    </xf>
    <xf numFmtId="0" fontId="0" fillId="28" borderId="29" xfId="0" applyFont="1" applyFill="1" applyBorder="1" applyAlignment="1" applyProtection="1">
      <alignment horizontal="center" vertical="center" wrapText="1"/>
      <protection hidden="1"/>
    </xf>
    <xf numFmtId="0" fontId="0" fillId="28" borderId="30" xfId="0" applyFont="1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11" borderId="0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DEB3D"/>
      <rgbColor rgb="007E0021"/>
      <rgbColor rgb="00008000"/>
      <rgbColor rgb="00000080"/>
      <rgbColor rgb="0066FF00"/>
      <rgbColor rgb="00800080"/>
      <rgbColor rgb="00008080"/>
      <rgbColor rgb="00C0C0C0"/>
      <rgbColor rgb="00808080"/>
      <rgbColor rgb="00B2B2B2"/>
      <rgbColor rgb="00993366"/>
      <rgbColor rgb="00EEEEEE"/>
      <rgbColor rgb="00E6E6FF"/>
      <rgbColor rgb="00660066"/>
      <rgbColor rgb="00CC9966"/>
      <rgbColor rgb="000084D1"/>
      <rgbColor rgb="00CCCCCC"/>
      <rgbColor rgb="00000080"/>
      <rgbColor rgb="00FF00FF"/>
      <rgbColor rgb="00FFFF66"/>
      <rgbColor rgb="0000FFFF"/>
      <rgbColor rgb="00800080"/>
      <rgbColor rgb="00C5000B"/>
      <rgbColor rgb="00008080"/>
      <rgbColor rgb="000000FF"/>
      <rgbColor rgb="0000DCFF"/>
      <rgbColor rgb="00CCFFFF"/>
      <rgbColor rgb="00DDDDDD"/>
      <rgbColor rgb="00FFFF99"/>
      <rgbColor rgb="0083CAFF"/>
      <rgbColor rgb="00CC9999"/>
      <rgbColor rgb="00B3B3B3"/>
      <rgbColor rgb="00CCCC99"/>
      <rgbColor rgb="003366FF"/>
      <rgbColor rgb="0066FFFF"/>
      <rgbColor rgb="00AECF00"/>
      <rgbColor rgb="00FFD320"/>
      <rgbColor rgb="00CC9900"/>
      <rgbColor rgb="00FF3333"/>
      <rgbColor rgb="00666699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Energitillförsel </a:t>
            </a:r>
          </a:p>
        </c:rich>
      </c:tx>
      <c:layout>
        <c:manualLayout>
          <c:xMode val="edge"/>
          <c:yMode val="edge"/>
          <c:x val="0.0480142300093283"/>
          <c:y val="0.2039340734582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55517803822"/>
          <c:y val="0.359136629660423"/>
          <c:w val="0.318431450205058"/>
          <c:h val="0.49808480461681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5000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.0158835208471211"/>
                  <c:y val="0.016563146997929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Diagram!$A$10:$A$14</c:f>
              <c:strCache>
                <c:ptCount val="5"/>
                <c:pt idx="0">
                  <c:v>Internt tillskott</c:v>
                </c:pt>
                <c:pt idx="1">
                  <c:v>Solinstrålning fönster</c:v>
                </c:pt>
                <c:pt idx="3">
                  <c:v>Jord/Berg -värmepump besparing @BEN</c:v>
                </c:pt>
                <c:pt idx="4">
                  <c:v>Inköpt energi</c:v>
                </c:pt>
              </c:strCache>
            </c:strRef>
          </c:cat>
          <c:val>
            <c:numRef>
              <c:f>Diagram!$E$32:$E$36</c:f>
              <c:numCache>
                <c:formatCode>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2160.0</c:v>
                </c:pt>
                <c:pt idx="4">
                  <c:v>2556.9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801635109791"/>
          <c:y val="0.413815630053834"/>
          <c:w val="0.341862116833403"/>
          <c:h val="0.5382714586414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11805555555556" footer="0.511805555555556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Energiförbrukning uppvärmning och varmvatten kWh/år</a:t>
            </a:r>
          </a:p>
        </c:rich>
      </c:tx>
      <c:layout>
        <c:manualLayout>
          <c:xMode val="edge"/>
          <c:yMode val="edge"/>
          <c:x val="0.0531496650167051"/>
          <c:y val="0.078638497652582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25000659244"/>
          <c:y val="0.345838231488669"/>
          <c:w val="0.315935256920748"/>
          <c:h val="0.553628331669809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0084D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66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3CA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Diagram!$A$24:$A$28</c:f>
              <c:strCache>
                <c:ptCount val="5"/>
                <c:pt idx="0">
                  <c:v>Transmission</c:v>
                </c:pt>
                <c:pt idx="1">
                  <c:v>Ventillation+vädring</c:v>
                </c:pt>
                <c:pt idx="2">
                  <c:v>Luftläckage</c:v>
                </c:pt>
                <c:pt idx="3">
                  <c:v>Varmvatten</c:v>
                </c:pt>
                <c:pt idx="4">
                  <c:v>Installationer</c:v>
                </c:pt>
              </c:strCache>
            </c:strRef>
          </c:cat>
          <c:val>
            <c:numRef>
              <c:f>Diagram!$D$24:$D$28</c:f>
              <c:numCache>
                <c:formatCode>0</c:formatCode>
                <c:ptCount val="5"/>
                <c:pt idx="0">
                  <c:v>10000.0</c:v>
                </c:pt>
                <c:pt idx="1">
                  <c:v>600.0</c:v>
                </c:pt>
                <c:pt idx="2">
                  <c:v>0.0</c:v>
                </c:pt>
                <c:pt idx="3">
                  <c:v>3000.0</c:v>
                </c:pt>
                <c:pt idx="4">
                  <c:v>1116.9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4026845637584"/>
          <c:y val="0.397887323943662"/>
          <c:w val="0.196868008948546"/>
          <c:h val="0.5704225352112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11805555555556" footer="0.511805555555556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Energibalans kWh/normalår</a:t>
            </a:r>
          </a:p>
        </c:rich>
      </c:tx>
      <c:layout>
        <c:manualLayout>
          <c:xMode val="edge"/>
          <c:yMode val="edge"/>
          <c:x val="0.225379286605568"/>
          <c:y val="0.05762081784386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60802225383"/>
          <c:y val="0.269516973234358"/>
          <c:w val="0.445576553999779"/>
          <c:h val="0.633829571537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Diagram!$A$24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Diagram!$D$24:$E$24</c:f>
              <c:numCache>
                <c:formatCode>0</c:formatCode>
                <c:ptCount val="2"/>
                <c:pt idx="0">
                  <c:v>10000.0</c:v>
                </c:pt>
              </c:numCache>
            </c:numRef>
          </c:val>
        </c:ser>
        <c:ser>
          <c:idx val="1"/>
          <c:order val="1"/>
          <c:tx>
            <c:strRef>
              <c:f>Diagram!$A$25</c:f>
              <c:strCache>
                <c:ptCount val="1"/>
                <c:pt idx="0">
                  <c:v>Ventillation+vädring</c:v>
                </c:pt>
              </c:strCache>
            </c:strRef>
          </c:tx>
          <c:spPr>
            <a:solidFill>
              <a:srgbClr val="0084D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Diagram!$D$25:$E$25</c:f>
              <c:numCache>
                <c:formatCode>0</c:formatCode>
                <c:ptCount val="2"/>
                <c:pt idx="0">
                  <c:v>600.0</c:v>
                </c:pt>
              </c:numCache>
            </c:numRef>
          </c:val>
        </c:ser>
        <c:ser>
          <c:idx val="2"/>
          <c:order val="2"/>
          <c:tx>
            <c:strRef>
              <c:f>Diagram!$A$26</c:f>
              <c:strCache>
                <c:ptCount val="1"/>
                <c:pt idx="0">
                  <c:v>Luftläckage</c:v>
                </c:pt>
              </c:strCache>
            </c:strRef>
          </c:tx>
          <c:spPr>
            <a:solidFill>
              <a:srgbClr val="00D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Diagram!$D$26:$E$26</c:f>
              <c:numCache>
                <c:formatCode>0</c:formatCode>
                <c:ptCount val="2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Diagram!$A$27</c:f>
              <c:strCache>
                <c:ptCount val="1"/>
                <c:pt idx="0">
                  <c:v>Varmvatten</c:v>
                </c:pt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Diagram!$D$27:$E$27</c:f>
              <c:numCache>
                <c:formatCode>0</c:formatCode>
                <c:ptCount val="2"/>
                <c:pt idx="0">
                  <c:v>3000.0</c:v>
                </c:pt>
              </c:numCache>
            </c:numRef>
          </c:val>
        </c:ser>
        <c:ser>
          <c:idx val="4"/>
          <c:order val="4"/>
          <c:tx>
            <c:strRef>
              <c:f>Diagram!$A$28</c:f>
              <c:strCache>
                <c:ptCount val="1"/>
                <c:pt idx="0">
                  <c:v>Installationer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Diagram!$D$28:$E$28</c:f>
              <c:numCache>
                <c:formatCode>0</c:formatCode>
                <c:ptCount val="2"/>
                <c:pt idx="0">
                  <c:v>1116.9</c:v>
                </c:pt>
              </c:numCache>
            </c:numRef>
          </c:val>
        </c:ser>
        <c:ser>
          <c:idx val="5"/>
          <c:order val="5"/>
          <c:tx>
            <c:strRef>
              <c:f>Diagram!$A$10</c:f>
              <c:strCache>
                <c:ptCount val="1"/>
                <c:pt idx="0">
                  <c:v>Internt tillskott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Diagram!$D$32:$E$32</c:f>
              <c:numCache>
                <c:formatCode>0</c:formatCode>
                <c:ptCount val="2"/>
                <c:pt idx="1">
                  <c:v>0.0</c:v>
                </c:pt>
              </c:numCache>
            </c:numRef>
          </c:val>
        </c:ser>
        <c:ser>
          <c:idx val="6"/>
          <c:order val="6"/>
          <c:tx>
            <c:strRef>
              <c:f>Diagram!$A$11</c:f>
              <c:strCache>
                <c:ptCount val="1"/>
                <c:pt idx="0">
                  <c:v>Solinstrålning fönster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Diagram!$D$33:$E$33</c:f>
              <c:numCache>
                <c:formatCode>0</c:formatCode>
                <c:ptCount val="2"/>
                <c:pt idx="1">
                  <c:v>0.0</c:v>
                </c:pt>
              </c:numCache>
            </c:numRef>
          </c:val>
        </c:ser>
        <c:ser>
          <c:idx val="7"/>
          <c:order val="7"/>
          <c:tx>
            <c:strRef>
              <c:f>Diagram!$A$12</c:f>
              <c:strCache>
                <c:ptCount val="1"/>
              </c:strCache>
            </c:strRef>
          </c:tx>
          <c:spPr>
            <a:solidFill>
              <a:srgbClr val="CC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Diagram!$D$34:$E$34</c:f>
              <c:numCache>
                <c:formatCode>0</c:formatCode>
                <c:ptCount val="2"/>
                <c:pt idx="1">
                  <c:v>0.0</c:v>
                </c:pt>
              </c:numCache>
            </c:numRef>
          </c:val>
        </c:ser>
        <c:ser>
          <c:idx val="8"/>
          <c:order val="8"/>
          <c:tx>
            <c:strRef>
              <c:f>Diagram!$A$13</c:f>
              <c:strCache>
                <c:ptCount val="1"/>
                <c:pt idx="0">
                  <c:v>Jord/Berg -värmepump besparing @BEN</c:v>
                </c:pt>
              </c:strCache>
            </c:strRef>
          </c:tx>
          <c:spPr>
            <a:solidFill>
              <a:srgbClr val="3DEB3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Diagram!$D$35:$E$35</c:f>
              <c:numCache>
                <c:formatCode>0</c:formatCode>
                <c:ptCount val="2"/>
                <c:pt idx="1">
                  <c:v>2160.0</c:v>
                </c:pt>
              </c:numCache>
            </c:numRef>
          </c:val>
        </c:ser>
        <c:ser>
          <c:idx val="9"/>
          <c:order val="9"/>
          <c:tx>
            <c:strRef>
              <c:f>Diagram!$A$14</c:f>
              <c:strCache>
                <c:ptCount val="1"/>
                <c:pt idx="0">
                  <c:v>Inköpt energi</c:v>
                </c:pt>
              </c:strCache>
            </c:strRef>
          </c:tx>
          <c:spPr>
            <a:solidFill>
              <a:srgbClr val="C5000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Diagram!$D$36:$E$36</c:f>
              <c:numCache>
                <c:formatCode>0</c:formatCode>
                <c:ptCount val="2"/>
                <c:pt idx="1">
                  <c:v>2556.9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75768120"/>
        <c:axId val="2075771400"/>
      </c:barChart>
      <c:catAx>
        <c:axId val="207576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771400"/>
        <c:crossesAt val="0.0"/>
        <c:auto val="0"/>
        <c:lblAlgn val="ctr"/>
        <c:lblOffset val="100"/>
        <c:tickLblSkip val="1"/>
        <c:tickMarkSkip val="1"/>
        <c:noMultiLvlLbl val="0"/>
      </c:catAx>
      <c:valAx>
        <c:axId val="207577140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7681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606525337245"/>
          <c:y val="0.286992207760694"/>
          <c:w val="0.301353285015668"/>
          <c:h val="0.635482745755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11805555555556" footer="0.511805555555556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2047875</xdr:rowOff>
    </xdr:from>
    <xdr:to>
      <xdr:col>2</xdr:col>
      <xdr:colOff>990600</xdr:colOff>
      <xdr:row>20</xdr:row>
      <xdr:rowOff>5114925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2</xdr:col>
      <xdr:colOff>923925</xdr:colOff>
      <xdr:row>20</xdr:row>
      <xdr:rowOff>2705100</xdr:rowOff>
    </xdr:to>
    <xdr:graphicFrame macro="">
      <xdr:nvGraphicFramePr>
        <xdr:cNvPr id="40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4010025</xdr:colOff>
      <xdr:row>20</xdr:row>
      <xdr:rowOff>5114925</xdr:rowOff>
    </xdr:to>
    <xdr:graphicFrame macro="">
      <xdr:nvGraphicFramePr>
        <xdr:cNvPr id="40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W264"/>
  <sheetViews>
    <sheetView showRuler="0" workbookViewId="0">
      <selection activeCell="D5" sqref="D5"/>
    </sheetView>
  </sheetViews>
  <sheetFormatPr baseColWidth="10" defaultColWidth="8.83203125" defaultRowHeight="12.75" customHeight="1" x14ac:dyDescent="0"/>
  <cols>
    <col min="1" max="1" width="6" customWidth="1"/>
    <col min="2" max="2" width="47.1640625" customWidth="1"/>
    <col min="3" max="3" width="20.6640625" customWidth="1"/>
    <col min="4" max="4" width="30" customWidth="1"/>
    <col min="6" max="10" width="11.83203125" customWidth="1"/>
    <col min="15" max="15" width="2.83203125" customWidth="1"/>
    <col min="16" max="16" width="46.1640625" customWidth="1"/>
    <col min="17" max="17" width="9.33203125" customWidth="1"/>
    <col min="18" max="18" width="11.83203125" style="244" customWidth="1"/>
    <col min="19" max="19" width="11.5" customWidth="1"/>
    <col min="20" max="20" width="8.33203125" customWidth="1"/>
    <col min="21" max="21" width="6.83203125" customWidth="1"/>
    <col min="22" max="22" width="5" customWidth="1"/>
  </cols>
  <sheetData>
    <row r="1" spans="1:9" ht="71" customHeight="1">
      <c r="A1" s="14"/>
      <c r="B1" s="290" t="str">
        <f>IF((D7="Lokal"),"Energibalansrapport projekterad energiförbrukning enl BBR 18 t.om. BBR 28","Energibalansrapport projekterad energiförbrukning enl BBR 18 t.om. BBR  28 / BEN-1..3")</f>
        <v>Energibalansrapport projekterad energiförbrukning enl BBR 18 t.om. BBR  28 / BEN-1..3</v>
      </c>
      <c r="C1" s="15"/>
      <c r="D1" s="16"/>
      <c r="E1" s="17"/>
      <c r="F1" s="18"/>
      <c r="G1" s="18"/>
      <c r="H1" s="18"/>
      <c r="I1" s="18"/>
    </row>
    <row r="2" spans="1:9" ht="12.75" customHeight="1">
      <c r="A2" s="14"/>
      <c r="B2" s="19"/>
      <c r="C2" s="19"/>
      <c r="D2" s="16"/>
      <c r="E2" s="17"/>
      <c r="F2" s="18"/>
      <c r="G2" s="18"/>
      <c r="H2" s="18"/>
      <c r="I2" s="18"/>
    </row>
    <row r="3" spans="1:9" ht="19" customHeight="1">
      <c r="A3" s="14"/>
      <c r="B3" s="113" t="s">
        <v>198</v>
      </c>
      <c r="C3" s="345"/>
      <c r="D3" s="346"/>
      <c r="E3" s="20"/>
      <c r="F3" s="18"/>
      <c r="G3" s="18"/>
      <c r="H3" s="18"/>
      <c r="I3" s="18"/>
    </row>
    <row r="4" spans="1:9" ht="17" customHeight="1">
      <c r="A4" s="14"/>
      <c r="B4" s="113" t="s">
        <v>633</v>
      </c>
      <c r="C4" s="345"/>
      <c r="D4" s="345"/>
      <c r="E4" s="17"/>
      <c r="F4" s="18"/>
      <c r="G4" s="18"/>
      <c r="H4" s="18"/>
      <c r="I4" s="18"/>
    </row>
    <row r="5" spans="1:9" ht="17" customHeight="1">
      <c r="A5" s="14"/>
      <c r="B5" s="113" t="s">
        <v>440</v>
      </c>
      <c r="C5" s="114"/>
      <c r="D5" s="301" t="s">
        <v>218</v>
      </c>
      <c r="E5" s="21"/>
      <c r="F5" s="22"/>
      <c r="G5" s="22"/>
      <c r="H5" s="22"/>
      <c r="I5" s="22"/>
    </row>
    <row r="6" spans="1:9" ht="17" customHeight="1">
      <c r="A6" s="14"/>
      <c r="B6" s="113" t="s">
        <v>439</v>
      </c>
      <c r="C6" s="114"/>
      <c r="D6" s="301" t="s">
        <v>218</v>
      </c>
      <c r="E6" s="194" t="str">
        <f ca="1">IF((ISNA(VLOOKUP(D6,INDIRECT(D5),1,FALSE))),"Kommun ej vald !!!","")</f>
        <v/>
      </c>
      <c r="F6" s="22"/>
      <c r="G6" s="22"/>
      <c r="H6" s="22"/>
      <c r="I6" s="22"/>
    </row>
    <row r="7" spans="1:9" ht="17" customHeight="1">
      <c r="A7" s="14"/>
      <c r="B7" s="113" t="s">
        <v>632</v>
      </c>
      <c r="C7" s="115" t="str">
        <f>IF((D7=('Indata bostäder.'!D7))+(D7="Lokal"),"","diff indata")</f>
        <v/>
      </c>
      <c r="D7" s="295" t="str">
        <f>'Indata bostäder.'!D7</f>
        <v>Småhus</v>
      </c>
      <c r="E7" s="21"/>
      <c r="F7" s="22"/>
      <c r="G7" s="22"/>
      <c r="H7" s="22"/>
      <c r="I7" s="22"/>
    </row>
    <row r="8" spans="1:9" ht="17" customHeight="1">
      <c r="A8" s="14"/>
      <c r="B8" s="113" t="str">
        <f>IF(D69="Lokal","","Antal bostäder")</f>
        <v>Antal bostäder</v>
      </c>
      <c r="C8" s="115" t="str">
        <f>IF((D8=('Indata bostäder.'!D16)),"","diff indata")</f>
        <v/>
      </c>
      <c r="D8" s="302">
        <f>'Indata bostäder.'!D16</f>
        <v>1</v>
      </c>
      <c r="E8" s="21"/>
      <c r="F8" s="22"/>
      <c r="G8" s="22"/>
      <c r="H8" s="22"/>
      <c r="I8" s="22"/>
    </row>
    <row r="9" spans="1:9" ht="17" customHeight="1">
      <c r="A9" s="14"/>
      <c r="B9" s="113" t="s">
        <v>593</v>
      </c>
      <c r="C9" s="114"/>
      <c r="D9" s="303" t="str">
        <f>Data!B42</f>
        <v>Stockholm</v>
      </c>
      <c r="E9" s="21"/>
      <c r="F9" s="22"/>
      <c r="G9" s="22"/>
      <c r="H9" s="22"/>
      <c r="I9" s="22"/>
    </row>
    <row r="10" spans="1:9" ht="17" customHeight="1">
      <c r="A10" s="14"/>
      <c r="B10" s="113" t="str">
        <f>CONCATENATE("Dimensionerande temperatur (DVUT) i ",D9, " ",Q241, "-dygn")</f>
        <v>Dimensionerande temperatur (DVUT) i Stockholm 1-dygn</v>
      </c>
      <c r="C10" s="116" t="s">
        <v>54</v>
      </c>
      <c r="D10" s="304">
        <f>R242</f>
        <v>-15.5</v>
      </c>
      <c r="E10" s="21"/>
      <c r="F10" s="22"/>
      <c r="G10" s="22"/>
      <c r="H10" s="22"/>
      <c r="I10" s="22"/>
    </row>
    <row r="11" spans="1:9" ht="12.75" customHeight="1">
      <c r="A11" s="199"/>
      <c r="B11" s="220" t="str">
        <f>CONCATENATE("Dimensionerande innetemperatur  ")</f>
        <v xml:space="preserve">Dimensionerande innetemperatur  </v>
      </c>
      <c r="C11" s="116" t="s">
        <v>54</v>
      </c>
      <c r="D11" s="339">
        <f>IF(D7="Lokal",'Indata Lokaler'!B59,'Indata bostäder.'!D9)</f>
        <v>21</v>
      </c>
      <c r="E11" s="199"/>
      <c r="F11" s="22"/>
    </row>
    <row r="12" spans="1:9" ht="17" customHeight="1">
      <c r="A12" s="14"/>
      <c r="B12" s="113" t="s">
        <v>644</v>
      </c>
      <c r="C12" s="116" t="s">
        <v>35</v>
      </c>
      <c r="D12" s="301">
        <v>0</v>
      </c>
      <c r="E12" s="195" t="str">
        <f>IF(D12&gt;95,"Särskild utredning krävs för mer än 95 timmar","")</f>
        <v/>
      </c>
      <c r="F12" s="22"/>
      <c r="G12" s="22"/>
      <c r="H12" s="22"/>
      <c r="I12" s="22"/>
    </row>
    <row r="13" spans="1:9" ht="17" customHeight="1">
      <c r="A13" s="14"/>
      <c r="B13" s="113" t="s">
        <v>204</v>
      </c>
      <c r="C13" s="116" t="s">
        <v>55</v>
      </c>
      <c r="D13" s="301">
        <v>0</v>
      </c>
      <c r="E13" s="195"/>
      <c r="F13" s="319"/>
      <c r="G13" s="22"/>
      <c r="H13" s="22"/>
      <c r="I13" s="22"/>
    </row>
    <row r="14" spans="1:9" ht="18" customHeight="1">
      <c r="A14" s="14"/>
      <c r="B14" s="117" t="str">
        <f>CONCATENATE("Geografisk faktor 'Fgeo' för ",D6)</f>
        <v>Geografisk faktor 'Fgeo' för Stockholm</v>
      </c>
      <c r="C14" s="113"/>
      <c r="D14" s="197">
        <f>C245</f>
        <v>1</v>
      </c>
      <c r="E14" s="23"/>
      <c r="F14" s="24"/>
      <c r="G14" s="24"/>
      <c r="H14" s="24"/>
      <c r="I14" s="24"/>
    </row>
    <row r="15" spans="1:9" ht="32" customHeight="1">
      <c r="A15" s="14"/>
      <c r="B15" s="117" t="s">
        <v>57</v>
      </c>
      <c r="C15" s="113" t="s">
        <v>58</v>
      </c>
      <c r="D15" s="312">
        <v>0.22</v>
      </c>
      <c r="E15" s="25"/>
      <c r="F15" s="26"/>
      <c r="G15" s="26"/>
      <c r="H15" s="26"/>
      <c r="I15" s="26"/>
    </row>
    <row r="16" spans="1:9" ht="17" customHeight="1">
      <c r="A16" s="14"/>
      <c r="B16" s="113" t="s">
        <v>59</v>
      </c>
      <c r="C16" s="113" t="s">
        <v>26</v>
      </c>
      <c r="D16" s="295">
        <v>150</v>
      </c>
      <c r="E16" s="21"/>
      <c r="F16" s="22"/>
      <c r="G16" s="22"/>
      <c r="H16" s="22"/>
      <c r="I16" s="22"/>
    </row>
    <row r="17" spans="1:22" ht="12.75" customHeight="1">
      <c r="A17" s="14"/>
      <c r="B17" s="34"/>
      <c r="C17" s="35"/>
      <c r="D17" s="28"/>
      <c r="E17" s="21"/>
      <c r="F17" s="22"/>
      <c r="G17" s="22"/>
      <c r="H17" s="22"/>
      <c r="I17" s="22"/>
    </row>
    <row r="18" spans="1:22" ht="28" customHeight="1">
      <c r="A18" s="272" t="s">
        <v>207</v>
      </c>
      <c r="B18" s="35"/>
      <c r="C18" s="35"/>
      <c r="D18" s="28"/>
      <c r="E18" s="21"/>
      <c r="F18" s="22"/>
      <c r="G18" s="22"/>
      <c r="H18" s="22"/>
      <c r="I18" s="22"/>
    </row>
    <row r="19" spans="1:22" ht="18" customHeight="1">
      <c r="A19" s="271" t="s">
        <v>634</v>
      </c>
      <c r="B19" s="199"/>
      <c r="C19" s="27"/>
      <c r="D19" s="28"/>
      <c r="E19" s="31"/>
      <c r="F19" s="32"/>
      <c r="G19" s="32"/>
      <c r="H19" s="32"/>
      <c r="I19" s="32"/>
      <c r="J19" s="33"/>
      <c r="L19" s="33"/>
      <c r="M19" s="33"/>
      <c r="N19" s="33"/>
      <c r="O19" s="33"/>
      <c r="P19" s="33"/>
      <c r="Q19" s="33"/>
      <c r="R19" s="42"/>
      <c r="S19" s="33"/>
      <c r="T19" s="33"/>
      <c r="U19" s="33"/>
      <c r="V19" s="33"/>
    </row>
    <row r="20" spans="1:22" ht="23.5" customHeight="1">
      <c r="A20" s="30"/>
      <c r="B20" s="117" t="s">
        <v>598</v>
      </c>
      <c r="C20" s="113" t="s">
        <v>56</v>
      </c>
      <c r="D20" s="295">
        <v>0</v>
      </c>
      <c r="E20" s="31"/>
      <c r="F20" s="32"/>
      <c r="G20" s="32"/>
      <c r="H20" s="32"/>
      <c r="I20" s="32"/>
      <c r="J20" s="33"/>
      <c r="K20" s="33"/>
      <c r="L20" s="33"/>
      <c r="M20" s="33"/>
      <c r="N20" s="33"/>
      <c r="O20" s="33"/>
      <c r="P20" s="33"/>
      <c r="Q20" s="33"/>
      <c r="R20" s="42"/>
      <c r="S20" s="33"/>
      <c r="T20" s="33"/>
      <c r="U20" s="33"/>
      <c r="V20" s="33"/>
    </row>
    <row r="21" spans="1:22" ht="16.5" customHeight="1">
      <c r="A21" s="14"/>
      <c r="B21" s="117" t="str">
        <f>IF((D7="Lokal"),"Beräknad energi vädringspåslag","Beräknad energi vädringspåslag (4 kWh/m2/år)")</f>
        <v>Beräknad energi vädringspåslag (4 kWh/m2/år)</v>
      </c>
      <c r="C21" s="120" t="s">
        <v>56</v>
      </c>
      <c r="D21" s="285">
        <f>D16*4</f>
        <v>600</v>
      </c>
      <c r="E21" s="31"/>
      <c r="F21" s="29"/>
      <c r="G21" s="29"/>
      <c r="H21" s="29"/>
      <c r="I21" s="29"/>
      <c r="J21" s="36"/>
      <c r="K21" s="36"/>
      <c r="L21" s="36"/>
      <c r="M21" s="36"/>
      <c r="N21" s="36"/>
      <c r="O21" s="36"/>
      <c r="P21" s="36"/>
    </row>
    <row r="22" spans="1:22" ht="34.75" customHeight="1">
      <c r="A22" s="14"/>
      <c r="B22" s="306" t="s">
        <v>704</v>
      </c>
      <c r="C22" s="120" t="s">
        <v>646</v>
      </c>
      <c r="D22" s="305">
        <v>0</v>
      </c>
      <c r="E22" s="214" t="str">
        <f>IF((B22="Skriv över med egen rubrik för eventuell gratienergi som t.ex Solfångare")*D22&gt;0,"Värde över 0 måste ha rubrik.","")</f>
        <v/>
      </c>
      <c r="F22" s="29"/>
      <c r="G22" s="29"/>
      <c r="H22" s="29"/>
      <c r="I22" s="29"/>
      <c r="J22" s="36"/>
      <c r="K22" s="36"/>
      <c r="L22" s="36"/>
      <c r="M22" s="36"/>
      <c r="N22" s="36"/>
      <c r="O22" s="36"/>
      <c r="P22" s="36"/>
    </row>
    <row r="23" spans="1:22" ht="16.5" customHeight="1">
      <c r="A23" s="14"/>
      <c r="B23" s="117" t="s">
        <v>441</v>
      </c>
      <c r="C23" s="119"/>
      <c r="D23" s="296" t="s">
        <v>686</v>
      </c>
      <c r="E23" s="21"/>
      <c r="F23" s="29"/>
      <c r="G23" s="29"/>
      <c r="H23" s="29"/>
      <c r="I23" s="29"/>
      <c r="J23" s="36"/>
      <c r="K23" s="36"/>
      <c r="L23" s="36"/>
      <c r="M23" s="36"/>
      <c r="N23" s="36"/>
      <c r="O23" s="36"/>
      <c r="P23" s="36"/>
    </row>
    <row r="24" spans="1:22" ht="22.25" customHeight="1">
      <c r="A24" s="30"/>
      <c r="B24" s="117" t="s">
        <v>606</v>
      </c>
      <c r="C24" s="294" t="s">
        <v>664</v>
      </c>
      <c r="D24" s="284">
        <f>C228</f>
        <v>2.5</v>
      </c>
      <c r="E24" s="31" t="str">
        <f>IF((C228&lt;&gt;D24),"manuellt ändrad","")</f>
        <v/>
      </c>
      <c r="F24" s="32"/>
      <c r="G24" s="32"/>
      <c r="H24" s="32"/>
      <c r="I24" s="32"/>
      <c r="J24" s="33"/>
      <c r="K24" s="33"/>
      <c r="L24" s="33"/>
      <c r="M24" s="33"/>
      <c r="N24" s="33"/>
      <c r="O24" s="33"/>
      <c r="P24" s="33"/>
      <c r="Q24" s="33"/>
      <c r="R24" s="42"/>
      <c r="S24" s="33"/>
      <c r="T24" s="33"/>
      <c r="U24" s="33"/>
      <c r="V24" s="33"/>
    </row>
    <row r="25" spans="1:22" ht="30.5" customHeight="1">
      <c r="A25" s="30"/>
      <c r="B25" s="117" t="s">
        <v>655</v>
      </c>
      <c r="C25" s="113" t="s">
        <v>56</v>
      </c>
      <c r="D25" s="221">
        <f>(D20+D21-D22)/D24</f>
        <v>240</v>
      </c>
      <c r="E25" s="31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42"/>
      <c r="S25" s="33"/>
      <c r="T25" s="33"/>
      <c r="U25" s="33"/>
      <c r="V25" s="33"/>
    </row>
    <row r="26" spans="1:22" ht="30.5" customHeight="1">
      <c r="A26" s="30"/>
      <c r="B26" s="117" t="str">
        <f>CONCATENATE("Netto energi (köpt) för uppvärmning och ventillation /",D14," (Fgeo ",D6,")")</f>
        <v>Netto energi (köpt) för uppvärmning och ventillation /1 (Fgeo Stockholm)</v>
      </c>
      <c r="C26" s="113" t="s">
        <v>654</v>
      </c>
      <c r="D26" s="222">
        <f>D25/D14</f>
        <v>240</v>
      </c>
      <c r="E26" s="31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42"/>
      <c r="S26" s="33"/>
      <c r="T26" s="33"/>
      <c r="U26" s="33"/>
      <c r="V26" s="33"/>
    </row>
    <row r="27" spans="1:22" ht="30.5" customHeight="1">
      <c r="A27" s="30"/>
      <c r="B27" s="117" t="str">
        <f>CONCATENATE("Erforderlig brutto värmeeffekt för uppvärmning av byggnaden vid ", 'Indata bostäder.'!D9," C° inne och DVUT ",D10,C10," :   ")</f>
        <v xml:space="preserve">Erforderlig brutto värmeeffekt för uppvärmning av byggnaden vid 21 C° inne och DVUT -15,5 C° :   </v>
      </c>
      <c r="C27" s="113" t="s">
        <v>631</v>
      </c>
      <c r="D27" s="223">
        <f>ROUND((D11-D10)*D13/(1000),2)</f>
        <v>0</v>
      </c>
      <c r="E27" s="31"/>
      <c r="F27" s="32"/>
      <c r="G27" s="32"/>
      <c r="H27" s="32"/>
      <c r="I27" s="32"/>
      <c r="J27" s="33"/>
      <c r="K27" s="33"/>
      <c r="L27" s="33"/>
      <c r="M27" s="33"/>
      <c r="N27" s="33"/>
      <c r="O27" s="33"/>
      <c r="P27" s="33"/>
      <c r="Q27" s="33"/>
      <c r="R27" s="42"/>
      <c r="S27" s="33"/>
      <c r="T27" s="33"/>
      <c r="U27" s="33"/>
      <c r="V27" s="33"/>
    </row>
    <row r="28" spans="1:22" ht="30" customHeight="1">
      <c r="A28" s="14"/>
      <c r="B28" s="117" t="str">
        <f>CONCATENATE("Verkningsgrad vid DVUT ",D10," för beräkning erforderlig netto-effekt")</f>
        <v>Verkningsgrad vid DVUT -15,5 för beräkning erforderlig netto-effekt</v>
      </c>
      <c r="C28" s="294" t="s">
        <v>664</v>
      </c>
      <c r="D28" s="286">
        <f>R234</f>
        <v>2.4769999999999999</v>
      </c>
      <c r="E28" s="21"/>
      <c r="F28" s="29"/>
      <c r="G28" s="29"/>
      <c r="H28" s="29"/>
      <c r="I28" s="29"/>
      <c r="J28" s="36"/>
      <c r="K28" s="36"/>
      <c r="L28" s="36"/>
      <c r="M28" s="36"/>
      <c r="N28" s="36"/>
      <c r="O28" s="36"/>
      <c r="P28" s="36"/>
    </row>
    <row r="29" spans="1:22" ht="27" customHeight="1">
      <c r="A29" s="30"/>
      <c r="B29" s="117" t="str">
        <f>CONCATENATE("Erforderlig netto värmeeffekt (köpt) för uppvärmning av byggnaden vid ", 'Indata bostäder.'!D9," C° inne och DVUT ",D10,C10," :   ")</f>
        <v xml:space="preserve">Erforderlig netto värmeeffekt (köpt) för uppvärmning av byggnaden vid 21 C° inne och DVUT -15,5 C° :   </v>
      </c>
      <c r="C29" s="113" t="s">
        <v>631</v>
      </c>
      <c r="D29" s="223">
        <f>ROUND((D11-D10)*D13/(1000*D28),2)</f>
        <v>0</v>
      </c>
      <c r="E29" s="31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33"/>
      <c r="Q29" s="33"/>
      <c r="R29" s="42"/>
      <c r="S29" s="33"/>
      <c r="T29" s="33"/>
      <c r="U29" s="33"/>
      <c r="V29" s="33"/>
    </row>
    <row r="30" spans="1:22" ht="22" customHeight="1">
      <c r="A30" s="30"/>
      <c r="B30" s="198"/>
      <c r="C30" s="177"/>
      <c r="D30" s="266"/>
      <c r="E30" s="31"/>
      <c r="F30" s="32"/>
      <c r="G30" s="32"/>
      <c r="H30" s="32"/>
      <c r="I30" s="32"/>
      <c r="J30" s="33"/>
      <c r="K30" s="33"/>
      <c r="L30" s="33"/>
      <c r="M30" s="33"/>
      <c r="N30" s="33"/>
      <c r="O30" s="33"/>
      <c r="P30" s="33"/>
      <c r="Q30" s="33"/>
      <c r="R30" s="42"/>
      <c r="S30" s="33"/>
      <c r="T30" s="33"/>
      <c r="U30" s="33"/>
      <c r="V30" s="33"/>
    </row>
    <row r="31" spans="1:22" ht="22" hidden="1" customHeight="1">
      <c r="A31" s="30"/>
      <c r="B31" s="198"/>
      <c r="C31" s="177"/>
      <c r="D31" s="266"/>
      <c r="E31" s="31"/>
      <c r="F31" s="32"/>
      <c r="G31" s="32"/>
      <c r="H31" s="32"/>
      <c r="I31" s="32"/>
      <c r="J31" s="33"/>
      <c r="K31" s="33"/>
      <c r="L31" s="33"/>
      <c r="M31" s="33"/>
      <c r="N31" s="33"/>
      <c r="O31" s="33"/>
      <c r="P31" s="33"/>
      <c r="Q31" s="33"/>
      <c r="R31" s="42"/>
      <c r="S31" s="33"/>
      <c r="T31" s="33"/>
      <c r="U31" s="33"/>
      <c r="V31" s="33"/>
    </row>
    <row r="32" spans="1:22" s="40" customFormat="1" ht="23" customHeight="1">
      <c r="A32" s="250" t="s">
        <v>638</v>
      </c>
      <c r="B32" s="270"/>
      <c r="C32" s="125"/>
      <c r="D32" s="297"/>
      <c r="E32" s="17"/>
      <c r="F32" s="259"/>
      <c r="G32" s="259"/>
      <c r="H32" s="259"/>
      <c r="I32" s="259"/>
      <c r="J32" s="260"/>
      <c r="K32" s="260"/>
      <c r="L32" s="260"/>
      <c r="M32" s="260"/>
      <c r="N32" s="260"/>
      <c r="O32" s="260"/>
      <c r="P32" s="260"/>
      <c r="R32" s="261"/>
    </row>
    <row r="33" spans="1:18" ht="24.5" customHeight="1">
      <c r="A33" s="14"/>
      <c r="B33" s="117" t="str">
        <f>CONCATENATE("Energiåtgång för värmningen av tappvarmvatten för ",D7)</f>
        <v>Energiåtgång för värmningen av tappvarmvatten för Småhus</v>
      </c>
      <c r="C33" s="113" t="s">
        <v>45</v>
      </c>
      <c r="D33" s="208">
        <f>IF(((D7="Flerbostadshus")+(D7="Flerbostadshus lght &lt; 35 m2")),25,IF(D7="Småhus",20,2))</f>
        <v>20</v>
      </c>
      <c r="E33" s="211"/>
      <c r="F33" s="29"/>
      <c r="G33" s="29"/>
      <c r="H33" s="29"/>
      <c r="I33" s="29"/>
      <c r="J33" s="36"/>
      <c r="K33" s="36"/>
      <c r="L33" s="36"/>
      <c r="M33" s="36"/>
      <c r="N33" s="36"/>
      <c r="O33" s="36"/>
      <c r="P33" s="36"/>
    </row>
    <row r="34" spans="1:18" ht="21" customHeight="1">
      <c r="A34" s="14"/>
      <c r="B34" s="117" t="s">
        <v>60</v>
      </c>
      <c r="C34" s="113" t="s">
        <v>56</v>
      </c>
      <c r="D34" s="208">
        <f>(D33)*D16</f>
        <v>3000</v>
      </c>
      <c r="E34" s="211"/>
      <c r="F34" s="29"/>
      <c r="G34" s="29"/>
      <c r="H34" s="29"/>
      <c r="I34" s="29"/>
      <c r="N34" s="36"/>
      <c r="O34" s="36"/>
      <c r="P34" s="36"/>
    </row>
    <row r="35" spans="1:18" ht="15.75" customHeight="1">
      <c r="A35" s="14"/>
      <c r="B35" s="136" t="s">
        <v>206</v>
      </c>
      <c r="C35" s="119" t="s">
        <v>139</v>
      </c>
      <c r="D35" s="209">
        <v>0</v>
      </c>
      <c r="E35" s="212"/>
      <c r="F35" s="29"/>
      <c r="G35" s="29"/>
      <c r="H35" s="29"/>
      <c r="I35" s="29"/>
      <c r="J35" s="36"/>
      <c r="K35" s="36"/>
      <c r="L35" s="36"/>
      <c r="M35" s="36"/>
      <c r="N35" s="36"/>
      <c r="O35" s="36"/>
      <c r="P35" s="36"/>
    </row>
    <row r="36" spans="1:18" ht="24" customHeight="1">
      <c r="A36" s="14"/>
      <c r="B36" s="117" t="s">
        <v>635</v>
      </c>
      <c r="C36" s="294" t="s">
        <v>664</v>
      </c>
      <c r="D36" s="298">
        <f>E228</f>
        <v>2.5</v>
      </c>
      <c r="E36" s="211"/>
      <c r="F36" s="29"/>
      <c r="G36" s="29"/>
      <c r="H36" s="29"/>
      <c r="I36" s="29"/>
      <c r="J36" s="36"/>
      <c r="K36" s="36"/>
      <c r="L36" s="36"/>
      <c r="M36" s="36"/>
      <c r="N36" s="36"/>
      <c r="O36" s="36"/>
      <c r="P36" s="36"/>
    </row>
    <row r="37" spans="1:18" ht="16.5" customHeight="1">
      <c r="A37" s="14"/>
      <c r="B37" s="117" t="s">
        <v>657</v>
      </c>
      <c r="C37" s="119" t="s">
        <v>56</v>
      </c>
      <c r="D37" s="299">
        <f>(D34+D35)/D36</f>
        <v>1200</v>
      </c>
      <c r="E37" s="211"/>
      <c r="F37" s="29"/>
      <c r="G37" s="29"/>
      <c r="H37" s="29"/>
      <c r="I37" s="29"/>
      <c r="J37" s="36"/>
      <c r="K37" s="36"/>
      <c r="L37" s="36"/>
      <c r="M37" s="36"/>
      <c r="N37" s="36"/>
      <c r="O37" s="36"/>
      <c r="P37" s="36"/>
    </row>
    <row r="38" spans="1:18" ht="16.5" customHeight="1">
      <c r="A38" s="14"/>
      <c r="B38" s="117" t="s">
        <v>674</v>
      </c>
      <c r="C38" s="119" t="s">
        <v>631</v>
      </c>
      <c r="D38" s="298">
        <f>IF(D7&lt;&gt;"Lokal",D8*0.5,0)</f>
        <v>0.5</v>
      </c>
      <c r="E38" s="211"/>
      <c r="F38" s="29"/>
      <c r="G38" s="29"/>
      <c r="H38" s="29"/>
      <c r="I38" s="29"/>
      <c r="J38" s="36"/>
      <c r="K38" s="36"/>
      <c r="L38" s="36"/>
      <c r="M38" s="36"/>
      <c r="N38" s="36"/>
      <c r="O38" s="36"/>
      <c r="P38" s="36"/>
    </row>
    <row r="39" spans="1:18" ht="25.75" customHeight="1">
      <c r="A39" s="255"/>
      <c r="B39" s="256" t="str">
        <f>CONCATENATE("Verkningsgrad VV vid DVUT ",R242," För beräkning erforderlig netto-effekt")</f>
        <v>Verkningsgrad VV vid DVUT -15,5 För beräkning erforderlig netto-effekt</v>
      </c>
      <c r="C39" s="294" t="s">
        <v>664</v>
      </c>
      <c r="D39" s="286">
        <f>IF(T225=1,1,R234)</f>
        <v>2.4769999999999999</v>
      </c>
      <c r="E39" s="257"/>
      <c r="F39" s="29"/>
      <c r="G39" s="29"/>
      <c r="H39" s="29"/>
      <c r="I39" s="29"/>
      <c r="J39" s="36"/>
      <c r="K39" s="36"/>
      <c r="L39" s="36"/>
      <c r="M39" s="36"/>
      <c r="N39" s="36"/>
      <c r="O39" s="36"/>
      <c r="P39" s="36"/>
    </row>
    <row r="40" spans="1:18" ht="12.75" customHeight="1">
      <c r="A40" s="199"/>
      <c r="B40" s="256" t="s">
        <v>658</v>
      </c>
      <c r="C40" s="210" t="s">
        <v>631</v>
      </c>
      <c r="D40" s="300">
        <f>IF(D7&lt;&gt;"Lokal",D8*0.5/D39,0)</f>
        <v>0.20185708518368997</v>
      </c>
      <c r="E40" s="199"/>
      <c r="F40" s="29"/>
    </row>
    <row r="41" spans="1:18" ht="12.75" hidden="1" customHeight="1">
      <c r="A41" s="199"/>
      <c r="B41" s="267"/>
      <c r="C41" s="212"/>
      <c r="D41" s="268"/>
      <c r="E41" s="199"/>
      <c r="F41" s="29"/>
    </row>
    <row r="42" spans="1:18" ht="12.75" hidden="1" customHeight="1">
      <c r="A42" s="199"/>
      <c r="B42" s="267"/>
      <c r="C42" s="212"/>
      <c r="D42" s="268"/>
      <c r="E42" s="199"/>
      <c r="F42" s="29"/>
    </row>
    <row r="43" spans="1:18" s="89" customFormat="1" ht="31" customHeight="1">
      <c r="A43" s="269" t="s">
        <v>607</v>
      </c>
      <c r="B43" s="199"/>
      <c r="C43" s="264"/>
      <c r="D43" s="31"/>
      <c r="E43" s="21"/>
      <c r="F43" s="29"/>
      <c r="G43" s="29"/>
      <c r="H43" s="29"/>
      <c r="I43" s="29"/>
      <c r="J43" s="265"/>
      <c r="K43" s="265"/>
      <c r="L43" s="265"/>
      <c r="M43" s="265"/>
      <c r="N43" s="265"/>
      <c r="O43" s="265"/>
      <c r="P43" s="265"/>
      <c r="R43" s="43"/>
    </row>
    <row r="44" spans="1:18" ht="15.75" customHeight="1">
      <c r="A44" s="14"/>
      <c r="B44" s="117" t="s">
        <v>636</v>
      </c>
      <c r="C44" s="119"/>
      <c r="D44" s="320" t="s">
        <v>698</v>
      </c>
      <c r="E44" s="14"/>
      <c r="F44" s="29"/>
      <c r="G44" s="29"/>
      <c r="H44" s="29"/>
      <c r="I44" s="29"/>
      <c r="J44" s="36"/>
      <c r="K44" s="36"/>
      <c r="L44" s="36"/>
      <c r="M44" s="36"/>
      <c r="N44" s="36"/>
      <c r="O44" s="36"/>
      <c r="P44" s="36"/>
    </row>
    <row r="45" spans="1:18" ht="15.75" customHeight="1">
      <c r="A45" s="14"/>
      <c r="B45" s="117" t="s">
        <v>608</v>
      </c>
      <c r="C45" s="119" t="s">
        <v>609</v>
      </c>
      <c r="D45" s="216">
        <f>C233</f>
        <v>2</v>
      </c>
      <c r="E45" s="14"/>
      <c r="F45" s="29"/>
      <c r="G45" s="29"/>
      <c r="H45" s="29"/>
      <c r="I45" s="29"/>
      <c r="J45" s="36"/>
      <c r="K45" s="36"/>
      <c r="L45" s="36"/>
      <c r="M45" s="36"/>
      <c r="N45" s="36"/>
      <c r="O45" s="36"/>
      <c r="P45" s="36"/>
    </row>
    <row r="46" spans="1:18" ht="15.75" customHeight="1">
      <c r="A46" s="14"/>
      <c r="B46" s="136" t="s">
        <v>137</v>
      </c>
      <c r="C46" s="119" t="s">
        <v>28</v>
      </c>
      <c r="D46" s="215">
        <f>D45*D58</f>
        <v>0.7</v>
      </c>
      <c r="E46" s="14"/>
      <c r="F46" s="29"/>
      <c r="G46" s="29"/>
      <c r="H46" s="29"/>
      <c r="I46" s="252"/>
      <c r="J46" s="36"/>
      <c r="K46" s="36"/>
      <c r="L46" s="36"/>
      <c r="M46" s="36"/>
      <c r="N46" s="36"/>
      <c r="O46" s="36"/>
      <c r="P46" s="36"/>
    </row>
    <row r="47" spans="1:18" ht="15.75" customHeight="1">
      <c r="A47" s="14"/>
      <c r="B47" s="136" t="s">
        <v>138</v>
      </c>
      <c r="C47" s="119" t="s">
        <v>28</v>
      </c>
      <c r="D47" s="249">
        <f>C236</f>
        <v>0.15</v>
      </c>
      <c r="E47" s="14"/>
      <c r="F47" s="29"/>
      <c r="G47" s="29"/>
      <c r="H47" s="29"/>
      <c r="I47" s="29"/>
      <c r="J47" s="36"/>
      <c r="K47" s="36"/>
      <c r="L47" s="36"/>
      <c r="M47" s="36"/>
      <c r="N47" s="36"/>
      <c r="O47" s="36"/>
      <c r="P47" s="36"/>
    </row>
    <row r="48" spans="1:18" ht="24.5" customHeight="1">
      <c r="A48" s="14"/>
      <c r="B48" s="136" t="s">
        <v>442</v>
      </c>
      <c r="C48" s="119" t="s">
        <v>56</v>
      </c>
      <c r="D48" s="307">
        <f>(D47+D46)*D16*365*24/1000</f>
        <v>1116.9000000000001</v>
      </c>
      <c r="E48" s="14"/>
      <c r="F48" s="29"/>
      <c r="G48" s="29"/>
      <c r="H48" s="29"/>
      <c r="I48" s="29"/>
      <c r="J48" s="36"/>
      <c r="K48" s="36"/>
      <c r="L48" s="36"/>
      <c r="M48" s="36"/>
      <c r="N48" s="36"/>
      <c r="O48" s="36"/>
      <c r="P48" s="36"/>
    </row>
    <row r="49" spans="1:18" ht="19" customHeight="1">
      <c r="A49" s="14"/>
      <c r="B49" s="136" t="s">
        <v>637</v>
      </c>
      <c r="C49" s="119" t="s">
        <v>56</v>
      </c>
      <c r="D49" s="308">
        <v>0</v>
      </c>
      <c r="E49" s="14"/>
      <c r="F49" s="29"/>
      <c r="G49" s="29"/>
      <c r="H49" s="29"/>
      <c r="I49" s="29"/>
      <c r="J49" s="36"/>
      <c r="K49" s="36"/>
      <c r="L49" s="36"/>
      <c r="M49" s="36"/>
      <c r="N49" s="36"/>
      <c r="O49" s="36"/>
      <c r="P49" s="36"/>
    </row>
    <row r="50" spans="1:18" ht="17" customHeight="1">
      <c r="A50" s="14"/>
      <c r="B50" s="120" t="s">
        <v>641</v>
      </c>
      <c r="C50" s="113" t="s">
        <v>56</v>
      </c>
      <c r="D50" s="140">
        <f>D240+D49</f>
        <v>1116.9000000000001</v>
      </c>
      <c r="E50" s="14"/>
      <c r="F50" s="29"/>
      <c r="G50" s="29"/>
      <c r="H50" s="29"/>
      <c r="I50" s="29"/>
      <c r="J50" s="36"/>
      <c r="K50" s="36"/>
      <c r="L50" s="36"/>
      <c r="M50" s="36"/>
      <c r="N50" s="36"/>
      <c r="O50" s="36"/>
      <c r="P50" s="36"/>
    </row>
    <row r="51" spans="1:18" ht="17" hidden="1" customHeight="1">
      <c r="A51" s="14"/>
      <c r="B51" s="35"/>
      <c r="C51" s="177"/>
      <c r="D51" s="217"/>
      <c r="E51" s="14"/>
      <c r="F51" s="29"/>
      <c r="G51" s="29"/>
      <c r="H51" s="29"/>
      <c r="I51" s="29"/>
      <c r="J51" s="36"/>
      <c r="K51" s="36"/>
      <c r="L51" s="36"/>
      <c r="M51" s="36"/>
      <c r="N51" s="36"/>
      <c r="O51" s="36"/>
      <c r="P51" s="36"/>
    </row>
    <row r="52" spans="1:18" ht="17" hidden="1" customHeight="1">
      <c r="A52" s="14"/>
      <c r="B52" s="35"/>
      <c r="C52" s="177"/>
      <c r="D52" s="217"/>
      <c r="E52" s="14"/>
      <c r="F52" s="29"/>
      <c r="G52" s="29"/>
      <c r="H52" s="29"/>
      <c r="I52" s="29"/>
      <c r="J52" s="36"/>
      <c r="K52" s="36"/>
      <c r="L52" s="36"/>
      <c r="M52" s="36"/>
      <c r="N52" s="36"/>
      <c r="O52" s="36"/>
      <c r="P52" s="36"/>
    </row>
    <row r="53" spans="1:18" ht="17" hidden="1" customHeight="1">
      <c r="A53" s="14"/>
      <c r="B53" s="35"/>
      <c r="C53" s="177"/>
      <c r="D53" s="217"/>
      <c r="E53" s="14"/>
      <c r="F53" s="29"/>
      <c r="G53" s="29"/>
      <c r="H53" s="29"/>
      <c r="I53" s="29"/>
      <c r="J53" s="36"/>
      <c r="K53" s="36"/>
      <c r="L53" s="36"/>
      <c r="M53" s="36"/>
      <c r="N53" s="36"/>
      <c r="O53" s="36"/>
      <c r="P53" s="36"/>
    </row>
    <row r="54" spans="1:18" ht="28" customHeight="1">
      <c r="A54" s="250" t="s">
        <v>659</v>
      </c>
      <c r="B54" s="199"/>
      <c r="C54" s="177"/>
      <c r="D54" s="217"/>
      <c r="E54" s="14"/>
      <c r="F54" s="29"/>
      <c r="G54" s="29"/>
      <c r="H54" s="29"/>
      <c r="I54" s="29"/>
      <c r="J54" s="36"/>
      <c r="K54" s="36"/>
      <c r="L54" s="36"/>
      <c r="M54" s="36"/>
      <c r="N54" s="36"/>
      <c r="O54" s="36"/>
      <c r="P54" s="36"/>
    </row>
    <row r="55" spans="1:18" ht="30.5" customHeight="1">
      <c r="A55" s="14"/>
      <c r="B55" s="136" t="str">
        <f>CONCATENATE("Primärenergifaktor uppvärmning &amp; VV via ",D23)</f>
        <v>Primärenergifaktor uppvärmning &amp; VV via BEN / Jord/berg/sjö värmepump</v>
      </c>
      <c r="C55" s="113" t="s">
        <v>612</v>
      </c>
      <c r="D55" s="140">
        <f>C225</f>
        <v>1.6</v>
      </c>
      <c r="E55" s="14"/>
      <c r="F55" s="29"/>
      <c r="G55" s="29"/>
      <c r="H55" s="29"/>
      <c r="I55" s="29"/>
      <c r="J55" s="36"/>
      <c r="K55" s="36"/>
      <c r="L55" s="36"/>
      <c r="M55" s="36"/>
      <c r="N55" s="36"/>
      <c r="O55" s="36"/>
      <c r="P55" s="36"/>
    </row>
    <row r="56" spans="1:18" ht="21" customHeight="1">
      <c r="A56" s="14"/>
      <c r="B56" s="136" t="str">
        <f>CONCATENATE("Primärenergifaktor fastighetsenergi",IF(D56=1.6, " El",""))</f>
        <v>Primärenergifaktor fastighetsenergi El</v>
      </c>
      <c r="C56" s="113" t="s">
        <v>612</v>
      </c>
      <c r="D56" s="293">
        <v>1.6</v>
      </c>
      <c r="E56" s="14"/>
      <c r="F56" s="29"/>
      <c r="G56" s="29"/>
      <c r="H56" s="29"/>
      <c r="I56" s="29"/>
      <c r="J56" s="36"/>
      <c r="K56" s="36"/>
      <c r="L56" s="36"/>
      <c r="M56" s="36"/>
      <c r="N56" s="36"/>
      <c r="O56" s="36"/>
      <c r="P56" s="36"/>
    </row>
    <row r="57" spans="1:18" ht="26" customHeight="1">
      <c r="A57" s="14"/>
      <c r="B57" s="120" t="s">
        <v>681</v>
      </c>
      <c r="C57" s="117" t="s">
        <v>680</v>
      </c>
      <c r="D57" s="140">
        <f>((D26+D37)*D55+(D50*D56))/D16</f>
        <v>27.273599999999998</v>
      </c>
      <c r="E57" s="14"/>
      <c r="F57" s="29"/>
      <c r="G57" s="29"/>
      <c r="H57" s="29"/>
      <c r="I57" s="29"/>
      <c r="J57" s="36"/>
      <c r="K57" s="36"/>
      <c r="L57" s="36"/>
      <c r="M57" s="36"/>
      <c r="N57" s="36"/>
      <c r="O57" s="36"/>
      <c r="P57" s="36"/>
    </row>
    <row r="58" spans="1:18" ht="26" customHeight="1">
      <c r="A58" s="14"/>
      <c r="B58" s="117" t="s">
        <v>673</v>
      </c>
      <c r="C58" s="113" t="s">
        <v>61</v>
      </c>
      <c r="D58" s="321">
        <v>0.35</v>
      </c>
      <c r="E58" s="318" t="str">
        <f>F200</f>
        <v>Betydelselös</v>
      </c>
      <c r="F58" s="29"/>
      <c r="G58" s="29"/>
      <c r="H58" s="29"/>
      <c r="I58" s="29"/>
      <c r="J58" s="36"/>
      <c r="K58" s="36"/>
      <c r="L58" s="36"/>
      <c r="M58" s="36"/>
      <c r="N58" s="36"/>
      <c r="O58" s="36"/>
      <c r="P58" s="36"/>
    </row>
    <row r="59" spans="1:18" ht="33" customHeight="1">
      <c r="A59" s="14"/>
      <c r="B59" s="136" t="str">
        <f>IF((F200&lt;&gt;"Betydelselös")*(D58&gt;0.35),CONCATENATE("Hög ventilation ",D58," l/s/m2 medför att tillåtet primärtal får ökas med:"),"")</f>
        <v/>
      </c>
      <c r="C59" s="120" t="str">
        <f>IF((F200&lt;&gt;"Betydelselös")*(D58&gt;0.35),"Epet + (vent)","")</f>
        <v/>
      </c>
      <c r="D59" s="317" t="str">
        <f>IF((F200&lt;&gt;"Betydelselös")*(D58&gt;0.35),D200,"")</f>
        <v/>
      </c>
      <c r="E59" s="21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</row>
    <row r="60" spans="1:18" ht="25.5" customHeight="1">
      <c r="A60" s="14" t="s">
        <v>640</v>
      </c>
      <c r="B60" s="136"/>
      <c r="C60" s="113"/>
      <c r="D60" s="140"/>
      <c r="E60" s="14"/>
      <c r="F60" s="29"/>
      <c r="G60" s="29"/>
      <c r="H60" s="29"/>
      <c r="I60" s="29"/>
      <c r="J60" s="36"/>
      <c r="K60" s="36"/>
      <c r="L60" s="36"/>
      <c r="M60" s="36"/>
      <c r="N60" s="36"/>
      <c r="O60" s="36"/>
      <c r="P60" s="36"/>
    </row>
    <row r="61" spans="1:18" ht="36.75" customHeight="1">
      <c r="A61" s="14"/>
      <c r="B61" s="136" t="str">
        <f>CONCATENATE("Erforderlig brutto värmeeffekt för uppvärmning av byggnaden vid ", 'Indata bostäder.'!D9," C° inne och DVUT ",D10,C10,"samt för varmvatten :   ")</f>
        <v xml:space="preserve">Erforderlig brutto värmeeffekt för uppvärmning av byggnaden vid 21 C° inne och DVUT -15,5 C°samt för varmvatten :   </v>
      </c>
      <c r="C61" s="113" t="s">
        <v>631</v>
      </c>
      <c r="D61" s="140">
        <f>D40*D39+D29*D28</f>
        <v>0.5</v>
      </c>
      <c r="E61" s="14"/>
      <c r="F61" s="29"/>
      <c r="G61" s="29"/>
      <c r="H61" s="29"/>
      <c r="I61" s="29"/>
      <c r="J61" s="36"/>
      <c r="K61" s="36"/>
      <c r="L61" s="36"/>
      <c r="M61" s="36"/>
      <c r="N61" s="36"/>
      <c r="O61" s="36"/>
      <c r="P61" s="36"/>
    </row>
    <row r="62" spans="1:18" s="1" customFormat="1" ht="32" customHeight="1">
      <c r="A62" s="251"/>
      <c r="B62" s="136" t="s">
        <v>675</v>
      </c>
      <c r="C62" s="117" t="s">
        <v>56</v>
      </c>
      <c r="D62" s="326">
        <f>(D20+D21-D22)+D34+D35</f>
        <v>3600</v>
      </c>
      <c r="E62" s="251"/>
      <c r="F62" s="252"/>
      <c r="G62" s="252"/>
      <c r="H62" s="252"/>
      <c r="I62" s="252"/>
      <c r="J62" s="253"/>
      <c r="K62" s="253"/>
      <c r="L62" s="253"/>
      <c r="M62" s="253"/>
      <c r="N62" s="253"/>
      <c r="O62" s="253"/>
      <c r="P62" s="253"/>
      <c r="R62" s="254"/>
    </row>
    <row r="63" spans="1:18" s="1" customFormat="1" ht="23" customHeight="1">
      <c r="A63" s="251"/>
      <c r="B63" s="136" t="str">
        <f>P225</f>
        <v>Jord/Berg -värmepump besparing @BEN</v>
      </c>
      <c r="C63" s="117"/>
      <c r="D63" s="326">
        <f>D62-D64</f>
        <v>2160</v>
      </c>
      <c r="E63" s="251"/>
      <c r="F63" s="252"/>
      <c r="G63" s="252"/>
      <c r="H63" s="252"/>
      <c r="I63" s="252"/>
      <c r="J63" s="253"/>
      <c r="K63" s="253"/>
      <c r="L63" s="253"/>
      <c r="M63" s="253"/>
      <c r="N63" s="253"/>
      <c r="O63" s="253"/>
      <c r="P63" s="253"/>
      <c r="R63" s="254"/>
    </row>
    <row r="64" spans="1:18" ht="27" customHeight="1">
      <c r="A64" s="14"/>
      <c r="B64" s="136" t="s">
        <v>677</v>
      </c>
      <c r="C64" s="117" t="s">
        <v>56</v>
      </c>
      <c r="D64" s="325">
        <f>D25+D37</f>
        <v>1440</v>
      </c>
      <c r="E64" s="14"/>
      <c r="F64" s="29"/>
      <c r="G64" s="29"/>
      <c r="H64" s="29"/>
      <c r="I64" s="29"/>
      <c r="J64" s="36"/>
      <c r="K64" s="36"/>
      <c r="L64" s="36"/>
      <c r="M64" s="36"/>
      <c r="N64" s="36"/>
      <c r="O64" s="36"/>
      <c r="P64" s="36"/>
    </row>
    <row r="65" spans="1:22" ht="18" customHeight="1">
      <c r="A65" s="14"/>
      <c r="B65" s="136" t="str">
        <f>B50</f>
        <v>Energiåtgång för fastighetens installationer: totalt</v>
      </c>
      <c r="C65" s="136" t="str">
        <f>C50</f>
        <v>kWh/år</v>
      </c>
      <c r="D65" s="324">
        <f>D50</f>
        <v>1116.9000000000001</v>
      </c>
      <c r="E65" s="14"/>
      <c r="F65" s="29"/>
      <c r="G65" s="29"/>
      <c r="H65" s="29"/>
      <c r="I65" s="29"/>
      <c r="J65" s="36"/>
      <c r="K65" s="36"/>
      <c r="L65" s="36"/>
      <c r="M65" s="36"/>
      <c r="N65" s="36"/>
      <c r="O65" s="36"/>
      <c r="P65" s="36"/>
    </row>
    <row r="66" spans="1:22" ht="28" customHeight="1">
      <c r="A66" s="14"/>
      <c r="B66" s="117" t="s">
        <v>656</v>
      </c>
      <c r="C66" s="113" t="s">
        <v>56</v>
      </c>
      <c r="D66" s="327">
        <f>D64+D65</f>
        <v>2556.9</v>
      </c>
      <c r="E66" s="21"/>
      <c r="F66" s="29"/>
      <c r="G66" s="29"/>
      <c r="H66" s="29"/>
      <c r="I66" s="29"/>
      <c r="J66" s="36"/>
      <c r="K66" s="36"/>
      <c r="L66" s="36"/>
      <c r="M66" s="36"/>
      <c r="N66" s="36"/>
      <c r="O66" s="36"/>
      <c r="P66" s="36"/>
    </row>
    <row r="67" spans="1:22" ht="24" customHeight="1">
      <c r="A67" s="14"/>
      <c r="B67" s="117" t="s">
        <v>682</v>
      </c>
      <c r="C67" s="113" t="s">
        <v>45</v>
      </c>
      <c r="D67" s="118">
        <f>D66/D16</f>
        <v>17.045999999999999</v>
      </c>
      <c r="E67" s="21"/>
      <c r="F67" s="29"/>
      <c r="G67" s="29"/>
      <c r="H67" s="29"/>
      <c r="I67" s="29"/>
      <c r="J67" s="36"/>
      <c r="K67" s="36"/>
      <c r="L67" s="36"/>
      <c r="M67" s="36"/>
      <c r="N67" s="36"/>
      <c r="O67" s="36"/>
      <c r="P67" s="36"/>
    </row>
    <row r="68" spans="1:22" ht="18" customHeight="1">
      <c r="A68" s="14"/>
      <c r="B68" s="198"/>
      <c r="C68" s="177"/>
      <c r="D68" s="213"/>
      <c r="E68" s="21"/>
      <c r="F68" s="22"/>
      <c r="G68" s="22"/>
      <c r="H68" s="22"/>
      <c r="I68" s="22"/>
    </row>
    <row r="69" spans="1:22" ht="18" customHeight="1">
      <c r="A69" s="14"/>
      <c r="B69" s="39" t="s">
        <v>63</v>
      </c>
      <c r="C69" s="19"/>
      <c r="D69" s="16"/>
      <c r="E69" s="21"/>
      <c r="F69" s="22"/>
      <c r="G69" s="22"/>
      <c r="H69" s="22"/>
      <c r="I69" s="22"/>
    </row>
    <row r="70" spans="1:22" ht="21.5" customHeight="1">
      <c r="A70" s="14"/>
      <c r="B70" s="38"/>
      <c r="C70" s="19"/>
      <c r="D70" s="16"/>
      <c r="E70" s="21"/>
      <c r="F70" s="22"/>
      <c r="G70" s="22"/>
      <c r="H70" s="22"/>
      <c r="I70" s="22"/>
    </row>
    <row r="71" spans="1:22" ht="29" customHeight="1">
      <c r="A71" s="14"/>
      <c r="B71" s="347" t="s">
        <v>700</v>
      </c>
      <c r="C71" s="348"/>
      <c r="D71" s="349"/>
      <c r="E71" s="21"/>
      <c r="F71" s="22"/>
      <c r="G71" s="22"/>
      <c r="H71" s="22"/>
      <c r="I71" s="22"/>
    </row>
    <row r="72" spans="1:22" ht="39.5" customHeight="1">
      <c r="A72" s="14"/>
      <c r="B72" s="350" t="s">
        <v>643</v>
      </c>
      <c r="C72" s="351"/>
      <c r="D72" s="352"/>
      <c r="E72" s="21"/>
      <c r="F72" s="22"/>
      <c r="G72" s="22"/>
      <c r="H72" s="22"/>
      <c r="I72" s="22"/>
    </row>
    <row r="73" spans="1:22" ht="31.5" customHeight="1">
      <c r="A73" s="14"/>
      <c r="B73" s="121" t="s">
        <v>64</v>
      </c>
      <c r="C73" s="122"/>
      <c r="D73" s="123"/>
      <c r="E73" s="21"/>
      <c r="F73" s="22"/>
      <c r="G73" s="22"/>
      <c r="H73" s="22"/>
      <c r="I73" s="22"/>
    </row>
    <row r="74" spans="1:22" ht="86" customHeight="1">
      <c r="A74" s="14"/>
      <c r="B74" s="363" t="s">
        <v>652</v>
      </c>
      <c r="C74" s="364"/>
      <c r="D74" s="365"/>
      <c r="E74" s="21"/>
      <c r="F74" s="22"/>
      <c r="G74" s="22"/>
      <c r="H74" s="22"/>
      <c r="I74" s="22"/>
    </row>
    <row r="75" spans="1:22" ht="30" customHeight="1">
      <c r="A75" s="132"/>
      <c r="B75" s="133"/>
      <c r="C75" s="133"/>
      <c r="D75" s="134"/>
      <c r="E75" s="135"/>
      <c r="F75" s="22"/>
      <c r="G75" s="22"/>
      <c r="H75" s="22"/>
      <c r="I75" s="22"/>
    </row>
    <row r="76" spans="1:22" ht="26.25" customHeight="1">
      <c r="F76" s="43"/>
      <c r="G76" s="43"/>
      <c r="H76" s="43"/>
      <c r="I76" s="43"/>
      <c r="N76" s="44"/>
      <c r="O76" s="45"/>
      <c r="P76" s="45"/>
      <c r="Q76" s="45"/>
      <c r="R76" s="245"/>
      <c r="S76" s="45"/>
      <c r="T76" s="45"/>
      <c r="U76" s="45"/>
      <c r="V76" s="46"/>
    </row>
    <row r="77" spans="1:22" ht="18" customHeight="1">
      <c r="B77" s="41"/>
      <c r="C77" s="41"/>
      <c r="D77" s="42"/>
      <c r="E77" s="43"/>
      <c r="F77" s="43"/>
      <c r="G77" s="43"/>
      <c r="H77" s="43"/>
      <c r="I77" s="43"/>
      <c r="N77" s="47"/>
      <c r="O77" s="354" t="str">
        <f>B1</f>
        <v>Energibalansrapport projekterad energiförbrukning enl BBR 18 t.om. BBR  28 / BEN-1..3</v>
      </c>
      <c r="P77" s="354"/>
      <c r="Q77" s="354"/>
      <c r="R77" s="354"/>
      <c r="S77" s="354"/>
      <c r="T77" s="354"/>
      <c r="U77" s="354"/>
      <c r="V77" s="48"/>
    </row>
    <row r="78" spans="1:22" ht="5" customHeight="1">
      <c r="B78" s="41"/>
      <c r="C78" s="41"/>
      <c r="D78" s="42"/>
      <c r="E78" s="43"/>
      <c r="F78" s="43"/>
      <c r="G78" s="43"/>
      <c r="H78" s="43"/>
      <c r="I78" s="43"/>
      <c r="N78" s="47"/>
      <c r="O78" s="49"/>
      <c r="P78" s="49"/>
      <c r="Q78" s="49"/>
      <c r="R78" s="55"/>
      <c r="S78" s="50"/>
      <c r="T78" s="50"/>
      <c r="U78" s="50"/>
      <c r="V78" s="48"/>
    </row>
    <row r="79" spans="1:22" ht="17" customHeight="1">
      <c r="B79" s="41"/>
      <c r="C79" s="41"/>
      <c r="D79" s="42"/>
      <c r="E79" s="43"/>
      <c r="F79" s="43"/>
      <c r="G79" s="43"/>
      <c r="H79" s="43"/>
      <c r="I79" s="43"/>
      <c r="N79" s="47"/>
      <c r="O79" s="49" t="str">
        <f>CONCATENATE(B3,C3)</f>
        <v xml:space="preserve">Fastighetsbeteckning : </v>
      </c>
      <c r="P79" s="49"/>
      <c r="Q79" s="49"/>
      <c r="R79" s="242" t="str">
        <f>CONCATENATE(D6," i ",D5," län")</f>
        <v>Stockholm i Stockholm län</v>
      </c>
      <c r="S79" s="49"/>
      <c r="T79" s="49"/>
      <c r="U79" s="49"/>
      <c r="V79" s="48"/>
    </row>
    <row r="80" spans="1:22" ht="17" customHeight="1">
      <c r="B80" s="41"/>
      <c r="C80" s="41"/>
      <c r="D80" s="42"/>
      <c r="E80" s="43"/>
      <c r="F80" s="43"/>
      <c r="G80" s="43"/>
      <c r="H80" s="43"/>
      <c r="I80" s="43"/>
      <c r="N80" s="47"/>
      <c r="O80" s="366" t="str">
        <f>CONCATENATE(B4,C4)</f>
        <v xml:space="preserve">Beräkningen utförd av : </v>
      </c>
      <c r="P80" s="366"/>
      <c r="Q80" s="366"/>
      <c r="R80" s="366"/>
      <c r="S80" s="366"/>
      <c r="T80" s="366"/>
      <c r="U80" s="366"/>
      <c r="V80" s="48"/>
    </row>
    <row r="81" spans="2:22" ht="17" customHeight="1">
      <c r="B81" s="41"/>
      <c r="C81" s="41"/>
      <c r="D81" s="42"/>
      <c r="E81" s="43"/>
      <c r="F81" s="43"/>
      <c r="G81" s="43"/>
      <c r="H81" s="43"/>
      <c r="I81" s="43"/>
      <c r="N81" s="47"/>
      <c r="O81" s="49" t="str">
        <f>CONCATENATE("Byggnadstyp : ",D7,IF((D7="Lokal")+(D7="Småhus"),"",CONCATENATE(" ",D8,IF(D8=1," bostad"," bostäder"))))</f>
        <v>Byggnadstyp : Småhus</v>
      </c>
      <c r="P81" s="49"/>
      <c r="R81" s="242"/>
      <c r="S81" s="51"/>
      <c r="T81" s="51"/>
      <c r="V81" s="48"/>
    </row>
    <row r="82" spans="2:22" ht="17" customHeight="1">
      <c r="B82" s="41"/>
      <c r="C82" s="41"/>
      <c r="D82" s="42"/>
      <c r="E82" s="43"/>
      <c r="F82" s="43"/>
      <c r="G82" s="43"/>
      <c r="H82" s="43"/>
      <c r="I82" s="43"/>
      <c r="N82" s="47"/>
      <c r="O82" s="49" t="str">
        <f>CONCATENATE("Värmekälla:  ",D23)</f>
        <v>Värmekälla:  BEN / Jord/berg/sjö värmepump</v>
      </c>
      <c r="P82" s="49"/>
      <c r="Q82" s="49"/>
      <c r="R82" s="55"/>
      <c r="S82" s="50"/>
      <c r="T82" s="50"/>
      <c r="U82" s="50"/>
      <c r="V82" s="48"/>
    </row>
    <row r="83" spans="2:22" ht="16.25" customHeight="1">
      <c r="B83" s="41"/>
      <c r="C83" s="41"/>
      <c r="D83" s="42"/>
      <c r="E83" s="43"/>
      <c r="F83" s="43"/>
      <c r="G83" s="43"/>
      <c r="H83" s="43"/>
      <c r="I83" s="43"/>
      <c r="N83" s="47"/>
      <c r="O83" s="52" t="str">
        <f>CONCATENATE("Maximal tillåten installerad eleffekt: ",FIXED(J200,2,)," kW", IF(H200&gt;0,CONCATENATE(" / ingår justering för area ",FIXED(H200,1,)," kW"),""),IF(I200&gt;0,CONCATENATE(" / ingår justering hög ventilation ",FIXED(I200,1,)," kW"),))</f>
        <v>Maximal tillåten installerad eleffekt: 5,00 kW / ingår justering för area 0,5 kW</v>
      </c>
      <c r="P83" s="49"/>
      <c r="V83" s="48"/>
    </row>
    <row r="84" spans="2:22" ht="16.25" customHeight="1">
      <c r="B84" s="41"/>
      <c r="C84" s="41"/>
      <c r="D84" s="42"/>
      <c r="E84" s="43"/>
      <c r="F84" s="43"/>
      <c r="G84" s="43"/>
      <c r="H84" s="43"/>
      <c r="I84" s="43"/>
      <c r="N84" s="47"/>
      <c r="O84" s="53"/>
      <c r="P84" s="53"/>
      <c r="Q84" s="52"/>
      <c r="R84" s="243"/>
      <c r="S84" s="50"/>
      <c r="T84" s="50"/>
      <c r="U84" s="50"/>
      <c r="V84" s="48"/>
    </row>
    <row r="85" spans="2:22" ht="16.25" customHeight="1">
      <c r="B85" s="41"/>
      <c r="C85" s="41"/>
      <c r="D85" s="42"/>
      <c r="E85" s="43"/>
      <c r="F85" s="43"/>
      <c r="G85" s="43"/>
      <c r="H85" s="43"/>
      <c r="I85" s="43"/>
      <c r="N85" s="47"/>
      <c r="O85" s="53"/>
      <c r="P85" s="53"/>
      <c r="Q85" s="52"/>
      <c r="R85" s="243"/>
      <c r="S85" s="357" t="s">
        <v>614</v>
      </c>
      <c r="T85" s="358"/>
      <c r="U85" s="359"/>
      <c r="V85" s="48"/>
    </row>
    <row r="86" spans="2:22" ht="12.5" customHeight="1">
      <c r="B86" s="41"/>
      <c r="C86" s="41"/>
      <c r="D86" s="42"/>
      <c r="E86" s="43"/>
      <c r="F86" s="43"/>
      <c r="G86" s="43"/>
      <c r="H86" s="43"/>
      <c r="I86" s="43"/>
      <c r="N86" s="47"/>
      <c r="P86" s="33" t="s">
        <v>639</v>
      </c>
      <c r="Q86" s="235" t="s">
        <v>9</v>
      </c>
      <c r="R86" s="236" t="s">
        <v>645</v>
      </c>
      <c r="S86" s="237" t="s">
        <v>65</v>
      </c>
      <c r="T86" s="360" t="s">
        <v>66</v>
      </c>
      <c r="U86" s="360"/>
      <c r="V86" s="48"/>
    </row>
    <row r="87" spans="2:22" ht="26" customHeight="1">
      <c r="B87" s="41"/>
      <c r="C87" s="41"/>
      <c r="D87" s="42"/>
      <c r="E87" s="43"/>
      <c r="F87" s="43"/>
      <c r="G87" s="43"/>
      <c r="H87" s="43"/>
      <c r="I87" s="43"/>
      <c r="N87" s="47"/>
      <c r="P87" s="228" t="s">
        <v>679</v>
      </c>
      <c r="Q87" s="333" t="s">
        <v>680</v>
      </c>
      <c r="R87" s="233">
        <f>D57</f>
        <v>27.273599999999998</v>
      </c>
      <c r="S87" s="234">
        <f>C201</f>
        <v>90</v>
      </c>
      <c r="T87" s="361" t="str">
        <f>IF(R87&lt;=(S87*0.5),"Mycket låg energianvändning",IF(R87&lt;=(S87*0.75),"Låg energianvändning",IF(R87&lt;=S87,"OK","För hög")))</f>
        <v>Mycket låg energianvändning</v>
      </c>
      <c r="U87" s="362" t="str">
        <f>IF(R87&gt;S87,"HÖGT","")</f>
        <v/>
      </c>
      <c r="V87" s="48"/>
    </row>
    <row r="88" spans="2:22" ht="37" customHeight="1">
      <c r="B88" s="41"/>
      <c r="C88" s="41"/>
      <c r="D88" s="42"/>
      <c r="E88" s="43"/>
      <c r="F88" s="43"/>
      <c r="G88" s="43"/>
      <c r="H88" s="43"/>
      <c r="I88" s="43"/>
      <c r="N88" s="47"/>
      <c r="P88" s="228" t="str">
        <f>CONCATENATE("Erforderlig netto (köpt) eleffekt för uppvärmning av byggnaden vid ", 'Indata bostäder.'!D9," C° inne och DVUT ",D10,C10,"samt för varmvatten :   ")</f>
        <v xml:space="preserve">Erforderlig netto (köpt) eleffekt för uppvärmning av byggnaden vid 21 C° inne och DVUT -15,5 C°samt för varmvatten :   </v>
      </c>
      <c r="Q88" s="229" t="s">
        <v>667</v>
      </c>
      <c r="R88" s="329">
        <f>T108+T118</f>
        <v>0.20185708518368997</v>
      </c>
      <c r="S88" s="330">
        <f>J200</f>
        <v>5</v>
      </c>
      <c r="T88" s="239" t="str">
        <f>IF(R88&lt;=S88,"OK","")</f>
        <v>OK</v>
      </c>
      <c r="U88" s="238" t="str">
        <f>IF(R88&gt;S88,"HÖGT","")</f>
        <v/>
      </c>
      <c r="V88" s="48"/>
    </row>
    <row r="89" spans="2:22" ht="32" customHeight="1">
      <c r="B89" s="41"/>
      <c r="C89" s="41"/>
      <c r="D89" s="42"/>
      <c r="E89" s="43"/>
      <c r="F89" s="43"/>
      <c r="G89" s="43"/>
      <c r="H89" s="43"/>
      <c r="I89" s="43"/>
      <c r="N89" s="47"/>
      <c r="P89" s="230" t="s">
        <v>57</v>
      </c>
      <c r="Q89" s="231" t="s">
        <v>58</v>
      </c>
      <c r="R89" s="232">
        <f>D15</f>
        <v>0.22</v>
      </c>
      <c r="S89" s="331">
        <f>K200</f>
        <v>0.4</v>
      </c>
      <c r="T89" s="240" t="str">
        <f>IF(R89&lt;=S89,"OK","")</f>
        <v>OK</v>
      </c>
      <c r="U89" s="224" t="str">
        <f>IF(R89&gt;S89,"HÖGT","")</f>
        <v/>
      </c>
      <c r="V89" s="48"/>
    </row>
    <row r="90" spans="2:22" ht="29" customHeight="1">
      <c r="B90" s="41"/>
      <c r="C90" s="41"/>
      <c r="D90" s="42"/>
      <c r="E90" s="43"/>
      <c r="F90" s="43"/>
      <c r="G90" s="43"/>
      <c r="H90" s="43"/>
      <c r="I90" s="43"/>
      <c r="N90" s="47"/>
      <c r="P90" s="33" t="s">
        <v>653</v>
      </c>
      <c r="Q90" s="57"/>
      <c r="R90" s="280"/>
      <c r="S90" s="56"/>
      <c r="T90" s="241"/>
      <c r="U90" s="279"/>
      <c r="V90" s="125"/>
    </row>
    <row r="91" spans="2:22" ht="17" customHeight="1">
      <c r="B91" s="41"/>
      <c r="C91" s="41"/>
      <c r="D91" s="42"/>
      <c r="E91" s="43"/>
      <c r="F91" s="43"/>
      <c r="G91" s="43"/>
      <c r="H91" s="43"/>
      <c r="I91" s="43"/>
      <c r="N91" s="47"/>
      <c r="P91" s="355" t="str">
        <f>B12</f>
        <v>Tidskonstant (värmetröghet i byggnaden )</v>
      </c>
      <c r="Q91" s="355"/>
      <c r="R91" s="355"/>
      <c r="S91" s="274" t="str">
        <f>C12</f>
        <v>tim</v>
      </c>
      <c r="T91" s="276">
        <f>D12</f>
        <v>0</v>
      </c>
      <c r="U91" s="56"/>
      <c r="V91" s="48"/>
    </row>
    <row r="92" spans="2:22" ht="17.5" customHeight="1">
      <c r="B92" s="41"/>
      <c r="C92" s="41"/>
      <c r="D92" s="42"/>
      <c r="E92" s="43"/>
      <c r="F92" s="43"/>
      <c r="G92" s="43"/>
      <c r="H92" s="43"/>
      <c r="I92" s="43"/>
      <c r="N92" s="47"/>
      <c r="P92" s="355" t="str">
        <f>B10</f>
        <v>Dimensionerande temperatur (DVUT) i Stockholm 1-dygn</v>
      </c>
      <c r="Q92" s="355"/>
      <c r="R92" s="355"/>
      <c r="S92" s="274" t="str">
        <f>C10</f>
        <v xml:space="preserve"> C°</v>
      </c>
      <c r="T92" s="276">
        <f>D10</f>
        <v>-15.5</v>
      </c>
      <c r="U92" s="56"/>
      <c r="V92" s="48"/>
    </row>
    <row r="93" spans="2:22" ht="18" customHeight="1">
      <c r="B93" s="41"/>
      <c r="C93" s="41"/>
      <c r="D93" s="42"/>
      <c r="E93" s="43"/>
      <c r="F93" s="43"/>
      <c r="G93" s="43"/>
      <c r="H93" s="43"/>
      <c r="I93" s="43"/>
      <c r="N93" s="47"/>
      <c r="P93" s="355" t="str">
        <f>B11</f>
        <v xml:space="preserve">Dimensionerande innetemperatur  </v>
      </c>
      <c r="Q93" s="355"/>
      <c r="R93" s="355"/>
      <c r="S93" s="274" t="str">
        <f>C11</f>
        <v xml:space="preserve"> C°</v>
      </c>
      <c r="T93" s="276">
        <f>D11</f>
        <v>21</v>
      </c>
      <c r="U93" s="57"/>
      <c r="V93" s="48"/>
    </row>
    <row r="94" spans="2:22" ht="18.5" customHeight="1">
      <c r="B94" s="41"/>
      <c r="C94" s="41"/>
      <c r="D94" s="42"/>
      <c r="E94" s="43"/>
      <c r="F94" s="43"/>
      <c r="G94" s="43"/>
      <c r="H94" s="43"/>
      <c r="I94" s="43"/>
      <c r="N94" s="47"/>
      <c r="P94" s="355" t="str">
        <f>B15</f>
        <v>Genomsnittlig värmegenomgångskoefficient för byggnadens omslutning:</v>
      </c>
      <c r="Q94" s="355"/>
      <c r="R94" s="355"/>
      <c r="S94" s="274" t="str">
        <f>C15</f>
        <v>W/m²K</v>
      </c>
      <c r="T94" s="311">
        <f>D15</f>
        <v>0.22</v>
      </c>
      <c r="U94" s="227"/>
      <c r="V94" s="48"/>
    </row>
    <row r="95" spans="2:22" ht="14.75" customHeight="1">
      <c r="B95" s="41"/>
      <c r="C95" s="41"/>
      <c r="D95" s="42"/>
      <c r="E95" s="43"/>
      <c r="F95" s="43"/>
      <c r="G95" s="43"/>
      <c r="H95" s="43"/>
      <c r="I95" s="43"/>
      <c r="N95" s="47"/>
      <c r="P95" s="353" t="str">
        <f>B16</f>
        <v>Atemp:</v>
      </c>
      <c r="Q95" s="353"/>
      <c r="R95" s="353"/>
      <c r="S95" s="277" t="str">
        <f>C16</f>
        <v>m²</v>
      </c>
      <c r="T95" s="273">
        <f>D16</f>
        <v>150</v>
      </c>
      <c r="U95" s="225"/>
      <c r="V95" s="48"/>
    </row>
    <row r="96" spans="2:22" ht="14.75" customHeight="1">
      <c r="B96" s="41"/>
      <c r="C96" s="41"/>
      <c r="D96" s="42"/>
      <c r="E96" s="43"/>
      <c r="F96" s="43"/>
      <c r="G96" s="43"/>
      <c r="H96" s="43"/>
      <c r="I96" s="43"/>
      <c r="N96" s="47"/>
      <c r="P96" s="356" t="str">
        <f>IF(I200&gt;0,CONCATENATE("Ventilation &gt; 0,35  : ",I200,""),"")</f>
        <v/>
      </c>
      <c r="Q96" s="356"/>
      <c r="R96" s="356"/>
      <c r="S96" s="225"/>
      <c r="T96" s="226"/>
      <c r="U96" s="258"/>
      <c r="V96" s="48"/>
    </row>
    <row r="97" spans="2:22" ht="13.25" customHeight="1">
      <c r="B97" s="41"/>
      <c r="C97" s="41"/>
      <c r="D97" s="42"/>
      <c r="E97" s="43"/>
      <c r="F97" s="43"/>
      <c r="G97" s="43"/>
      <c r="H97" s="43"/>
      <c r="I97" s="43"/>
      <c r="N97" s="47"/>
      <c r="P97" s="54" t="s">
        <v>67</v>
      </c>
      <c r="Q97" s="56"/>
      <c r="R97" s="55"/>
      <c r="S97" s="50"/>
      <c r="T97" s="50"/>
      <c r="U97" s="50"/>
      <c r="V97" s="48"/>
    </row>
    <row r="98" spans="2:22" ht="13.25" customHeight="1">
      <c r="B98" s="41"/>
      <c r="C98" s="41"/>
      <c r="D98" s="42"/>
      <c r="E98" s="43"/>
      <c r="F98" s="43"/>
      <c r="G98" s="43"/>
      <c r="H98" s="43"/>
      <c r="I98" s="43"/>
      <c r="N98" s="47"/>
      <c r="P98" s="54" t="s">
        <v>634</v>
      </c>
      <c r="Q98" s="56"/>
      <c r="R98" s="55"/>
      <c r="S98" s="50"/>
      <c r="T98" s="50"/>
      <c r="U98" s="50"/>
      <c r="V98" s="48"/>
    </row>
    <row r="99" spans="2:22" ht="17" customHeight="1">
      <c r="B99" s="41"/>
      <c r="C99" s="41"/>
      <c r="D99" s="42"/>
      <c r="E99" s="43"/>
      <c r="F99" s="43"/>
      <c r="G99" s="43"/>
      <c r="H99" s="43"/>
      <c r="I99" s="43"/>
      <c r="N99" s="47"/>
      <c r="P99" s="353" t="str">
        <f>B20</f>
        <v>Beräknad energianvändning för uppvärmning &amp; ventilation:</v>
      </c>
      <c r="Q99" s="353"/>
      <c r="R99" s="353"/>
      <c r="S99" s="262" t="str">
        <f t="shared" ref="S99:T101" si="0">C20</f>
        <v>kWh/år</v>
      </c>
      <c r="T99" s="338">
        <f t="shared" si="0"/>
        <v>0</v>
      </c>
      <c r="U99" s="50"/>
      <c r="V99" s="48"/>
    </row>
    <row r="100" spans="2:22" ht="17" customHeight="1">
      <c r="B100" s="41"/>
      <c r="C100" s="41"/>
      <c r="D100" s="42"/>
      <c r="E100" s="43"/>
      <c r="F100" s="43"/>
      <c r="G100" s="43"/>
      <c r="H100" s="43"/>
      <c r="I100" s="43"/>
      <c r="N100" s="47"/>
      <c r="P100" s="353" t="str">
        <f>B21</f>
        <v>Beräknad energi vädringspåslag (4 kWh/m2/år)</v>
      </c>
      <c r="Q100" s="353"/>
      <c r="R100" s="353"/>
      <c r="S100" s="262" t="str">
        <f t="shared" si="0"/>
        <v>kWh/år</v>
      </c>
      <c r="T100" s="338">
        <f t="shared" si="0"/>
        <v>600</v>
      </c>
      <c r="U100" s="50"/>
      <c r="V100" s="48"/>
    </row>
    <row r="101" spans="2:22" ht="17.5" customHeight="1">
      <c r="B101" s="41"/>
      <c r="C101" s="41"/>
      <c r="D101" s="42"/>
      <c r="E101" s="43"/>
      <c r="F101" s="43"/>
      <c r="G101" s="43"/>
      <c r="H101" s="43"/>
      <c r="I101" s="43"/>
      <c r="N101" s="47"/>
      <c r="P101" s="353" t="str">
        <f>IF((D22=0),"",B22)</f>
        <v/>
      </c>
      <c r="Q101" s="353"/>
      <c r="R101" s="353"/>
      <c r="S101" s="262" t="str">
        <f t="shared" si="0"/>
        <v>kWh//år</v>
      </c>
      <c r="T101" s="273">
        <f t="shared" si="0"/>
        <v>0</v>
      </c>
      <c r="U101" s="40"/>
      <c r="V101" s="48"/>
    </row>
    <row r="102" spans="2:22" ht="17" customHeight="1">
      <c r="B102" s="41"/>
      <c r="C102" s="41"/>
      <c r="D102" s="42"/>
      <c r="E102" s="43"/>
      <c r="F102" s="43"/>
      <c r="G102" s="43"/>
      <c r="H102" s="43"/>
      <c r="I102" s="43"/>
      <c r="N102" s="47"/>
      <c r="P102" s="262" t="str">
        <f>B23</f>
        <v>Värmekälla uppvärmning</v>
      </c>
      <c r="Q102" s="353" t="str">
        <f>D23</f>
        <v>BEN / Jord/berg/sjö värmepump</v>
      </c>
      <c r="R102" s="353"/>
      <c r="S102" s="353"/>
      <c r="T102" s="353"/>
      <c r="U102" s="40"/>
      <c r="V102" s="48"/>
    </row>
    <row r="103" spans="2:22" ht="17" customHeight="1">
      <c r="B103" s="41"/>
      <c r="C103" s="41"/>
      <c r="D103" s="42"/>
      <c r="E103" s="43"/>
      <c r="F103" s="43"/>
      <c r="G103" s="43"/>
      <c r="H103" s="43"/>
      <c r="I103" s="43"/>
      <c r="N103" s="47"/>
      <c r="P103" s="353" t="str">
        <f>B24</f>
        <v>Verkningsgrad /års- COP värmesystem för uppvärmning</v>
      </c>
      <c r="Q103" s="353"/>
      <c r="R103" s="353"/>
      <c r="S103" s="262" t="str">
        <f>C24</f>
        <v>ƞ</v>
      </c>
      <c r="T103" s="309">
        <f>D24</f>
        <v>2.5</v>
      </c>
      <c r="U103" s="40"/>
      <c r="V103" s="48"/>
    </row>
    <row r="104" spans="2:22" ht="17" customHeight="1">
      <c r="B104" s="41"/>
      <c r="C104" s="41"/>
      <c r="D104" s="42"/>
      <c r="E104" s="43"/>
      <c r="F104" s="43"/>
      <c r="G104" s="43"/>
      <c r="H104" s="43"/>
      <c r="I104" s="43"/>
      <c r="N104" s="47"/>
      <c r="P104" s="353" t="str">
        <f>B25</f>
        <v>Netto energi (köpt) för uppvärmning &amp; ventilationförluster.</v>
      </c>
      <c r="Q104" s="353"/>
      <c r="R104" s="353"/>
      <c r="S104" s="262" t="str">
        <f>C25</f>
        <v>kWh/år</v>
      </c>
      <c r="T104" s="338">
        <f>D25</f>
        <v>240</v>
      </c>
      <c r="U104" s="40"/>
      <c r="V104" s="48"/>
    </row>
    <row r="105" spans="2:22" ht="32" customHeight="1">
      <c r="B105" s="41"/>
      <c r="C105" s="41"/>
      <c r="D105" s="42"/>
      <c r="E105" s="43"/>
      <c r="F105" s="43"/>
      <c r="G105" s="43"/>
      <c r="H105" s="43"/>
      <c r="I105" s="43"/>
      <c r="N105" s="47"/>
      <c r="P105" s="367" t="str">
        <f>B27</f>
        <v xml:space="preserve">Erforderlig brutto värmeeffekt för uppvärmning av byggnaden vid 21 C° inne och DVUT -15,5 C° :   </v>
      </c>
      <c r="Q105" s="368"/>
      <c r="R105" s="369"/>
      <c r="S105" s="328" t="str">
        <f t="shared" ref="S105:T107" si="1">C27</f>
        <v>kW</v>
      </c>
      <c r="T105" s="310">
        <f t="shared" si="1"/>
        <v>0</v>
      </c>
      <c r="U105" s="40"/>
      <c r="V105" s="48"/>
    </row>
    <row r="106" spans="2:22" ht="17" customHeight="1">
      <c r="B106" s="41"/>
      <c r="C106" s="41"/>
      <c r="D106" s="42"/>
      <c r="E106" s="43"/>
      <c r="F106" s="43"/>
      <c r="G106" s="43"/>
      <c r="H106" s="43"/>
      <c r="I106" s="43"/>
      <c r="N106" s="47"/>
      <c r="P106" s="353" t="str">
        <f>B28</f>
        <v>Verkningsgrad vid DVUT -15,5 för beräkning erforderlig netto-effekt</v>
      </c>
      <c r="Q106" s="353"/>
      <c r="R106" s="353"/>
      <c r="S106" s="262" t="str">
        <f t="shared" si="1"/>
        <v>ƞ</v>
      </c>
      <c r="T106" s="310">
        <f t="shared" si="1"/>
        <v>2.4769999999999999</v>
      </c>
      <c r="U106" s="40"/>
      <c r="V106" s="48"/>
    </row>
    <row r="107" spans="2:22" ht="29" customHeight="1">
      <c r="B107" s="41"/>
      <c r="C107" s="41"/>
      <c r="D107" s="42"/>
      <c r="E107" s="43"/>
      <c r="F107" s="43"/>
      <c r="G107" s="43"/>
      <c r="H107" s="43"/>
      <c r="I107" s="43"/>
      <c r="N107" s="47"/>
      <c r="P107" s="355" t="str">
        <f>B29</f>
        <v xml:space="preserve">Erforderlig netto värmeeffekt (köpt) för uppvärmning av byggnaden vid 21 C° inne och DVUT -15,5 C° :   </v>
      </c>
      <c r="Q107" s="355"/>
      <c r="R107" s="355"/>
      <c r="S107" s="262" t="str">
        <f t="shared" si="1"/>
        <v>kW</v>
      </c>
      <c r="T107" s="273">
        <f t="shared" si="1"/>
        <v>0</v>
      </c>
      <c r="U107" s="40"/>
      <c r="V107" s="48"/>
    </row>
    <row r="108" spans="2:22" ht="17" customHeight="1">
      <c r="B108" s="41"/>
      <c r="C108" s="41"/>
      <c r="D108" s="42"/>
      <c r="E108" s="43"/>
      <c r="F108" s="43"/>
      <c r="G108" s="43"/>
      <c r="H108" s="43"/>
      <c r="I108" s="43"/>
      <c r="N108" s="47"/>
      <c r="P108" s="355" t="s">
        <v>676</v>
      </c>
      <c r="Q108" s="355"/>
      <c r="R108" s="355"/>
      <c r="S108" s="262" t="str">
        <f>S107</f>
        <v>kW</v>
      </c>
      <c r="T108" s="310">
        <f>IF(D225,T107,0)</f>
        <v>0</v>
      </c>
      <c r="U108" s="40"/>
      <c r="V108" s="48"/>
    </row>
    <row r="109" spans="2:22" ht="18" customHeight="1">
      <c r="B109" s="41"/>
      <c r="C109" s="41"/>
      <c r="D109" s="42"/>
      <c r="E109" s="43"/>
      <c r="F109" s="43"/>
      <c r="G109" s="43"/>
      <c r="H109" s="43"/>
      <c r="I109" s="43"/>
      <c r="N109" s="47"/>
      <c r="P109" s="248" t="str">
        <f>A32</f>
        <v>2 Tappvarmvatten</v>
      </c>
      <c r="R109"/>
      <c r="S109" s="57"/>
      <c r="T109" s="54"/>
      <c r="U109" s="40"/>
      <c r="V109" s="48"/>
    </row>
    <row r="110" spans="2:22" ht="17" customHeight="1">
      <c r="B110" s="41"/>
      <c r="C110" s="41"/>
      <c r="D110" s="42"/>
      <c r="E110" s="43"/>
      <c r="F110" s="43"/>
      <c r="G110" s="43"/>
      <c r="H110" s="43"/>
      <c r="I110" s="43"/>
      <c r="N110" s="47"/>
      <c r="O110" s="248"/>
      <c r="P110" s="355" t="str">
        <f t="shared" ref="P110:P117" si="2">B33</f>
        <v>Energiåtgång för värmningen av tappvarmvatten för Småhus</v>
      </c>
      <c r="Q110" s="355"/>
      <c r="R110" s="355"/>
      <c r="S110" s="275" t="str">
        <f t="shared" ref="S110:T117" si="3">C33</f>
        <v>kWh/m2/år</v>
      </c>
      <c r="T110" s="276">
        <f t="shared" si="3"/>
        <v>20</v>
      </c>
      <c r="U110" s="40"/>
      <c r="V110" s="48"/>
    </row>
    <row r="111" spans="2:22" ht="17" customHeight="1">
      <c r="B111" s="41"/>
      <c r="C111" s="41"/>
      <c r="D111" s="42"/>
      <c r="E111" s="43"/>
      <c r="F111" s="43"/>
      <c r="G111" s="43"/>
      <c r="H111" s="43"/>
      <c r="I111" s="43"/>
      <c r="N111" s="47"/>
      <c r="O111" s="248"/>
      <c r="P111" s="355" t="str">
        <f t="shared" si="2"/>
        <v>Beräknad energiåtgång för tappvarmvatten</v>
      </c>
      <c r="Q111" s="355"/>
      <c r="R111" s="355"/>
      <c r="S111" s="275" t="str">
        <f t="shared" si="3"/>
        <v>kWh/år</v>
      </c>
      <c r="T111" s="336">
        <f t="shared" si="3"/>
        <v>3000</v>
      </c>
      <c r="U111" s="40"/>
      <c r="V111" s="48"/>
    </row>
    <row r="112" spans="2:22" ht="17" customHeight="1">
      <c r="B112" s="41"/>
      <c r="C112" s="41"/>
      <c r="D112" s="42"/>
      <c r="E112" s="43"/>
      <c r="F112" s="43"/>
      <c r="G112" s="43"/>
      <c r="H112" s="43"/>
      <c r="I112" s="43"/>
      <c r="N112" s="47"/>
      <c r="O112" s="248"/>
      <c r="P112" s="355" t="str">
        <f t="shared" si="2"/>
        <v>Energiförlust tappvarmvattensystem</v>
      </c>
      <c r="Q112" s="355"/>
      <c r="R112" s="355"/>
      <c r="S112" s="275" t="str">
        <f t="shared" si="3"/>
        <v>kW/år</v>
      </c>
      <c r="T112" s="336">
        <f t="shared" si="3"/>
        <v>0</v>
      </c>
      <c r="U112" s="40"/>
      <c r="V112" s="48"/>
    </row>
    <row r="113" spans="2:22" ht="17" customHeight="1">
      <c r="B113" s="41"/>
      <c r="C113" s="41"/>
      <c r="D113" s="42"/>
      <c r="E113" s="43"/>
      <c r="F113" s="43"/>
      <c r="G113" s="43"/>
      <c r="H113" s="43"/>
      <c r="I113" s="43"/>
      <c r="N113" s="47"/>
      <c r="O113" s="248"/>
      <c r="P113" s="355" t="str">
        <f t="shared" si="2"/>
        <v>Verkningsgrad: års-COP för värmesystemet uppvärmning av varmvatten</v>
      </c>
      <c r="Q113" s="355"/>
      <c r="R113" s="355"/>
      <c r="S113" s="275" t="str">
        <f t="shared" si="3"/>
        <v>ƞ</v>
      </c>
      <c r="T113" s="311">
        <f t="shared" si="3"/>
        <v>2.5</v>
      </c>
      <c r="U113" s="40"/>
      <c r="V113" s="48"/>
    </row>
    <row r="114" spans="2:22" ht="17" customHeight="1">
      <c r="B114" s="41"/>
      <c r="C114" s="41"/>
      <c r="D114" s="42"/>
      <c r="E114" s="43"/>
      <c r="F114" s="43"/>
      <c r="G114" s="43"/>
      <c r="H114" s="43"/>
      <c r="I114" s="43"/>
      <c r="N114" s="47"/>
      <c r="O114" s="248"/>
      <c r="P114" s="355" t="str">
        <f t="shared" si="2"/>
        <v>Netto energi (köpt) för varmvatten( Etvvv)</v>
      </c>
      <c r="Q114" s="355"/>
      <c r="R114" s="355"/>
      <c r="S114" s="275" t="str">
        <f t="shared" si="3"/>
        <v>kWh/år</v>
      </c>
      <c r="T114" s="336">
        <f t="shared" si="3"/>
        <v>1200</v>
      </c>
      <c r="U114" s="40"/>
      <c r="V114" s="48"/>
    </row>
    <row r="115" spans="2:22" ht="17" customHeight="1">
      <c r="B115" s="41"/>
      <c r="C115" s="41"/>
      <c r="D115" s="42"/>
      <c r="E115" s="43"/>
      <c r="F115" s="43"/>
      <c r="G115" s="43"/>
      <c r="H115" s="43"/>
      <c r="I115" s="43"/>
      <c r="N115" s="47"/>
      <c r="O115" s="248"/>
      <c r="P115" s="355" t="str">
        <f t="shared" si="2"/>
        <v>Brutto effekt för uppvärmning VV. 500 W brutto / lgh enl BBR</v>
      </c>
      <c r="Q115" s="355"/>
      <c r="R115" s="355"/>
      <c r="S115" s="275" t="str">
        <f t="shared" si="3"/>
        <v>kW</v>
      </c>
      <c r="T115" s="311">
        <f t="shared" si="3"/>
        <v>0.5</v>
      </c>
      <c r="U115" s="40"/>
      <c r="V115" s="48"/>
    </row>
    <row r="116" spans="2:22" ht="17" customHeight="1">
      <c r="B116" s="41"/>
      <c r="C116" s="41"/>
      <c r="D116" s="42"/>
      <c r="E116" s="43"/>
      <c r="F116" s="43"/>
      <c r="G116" s="43"/>
      <c r="H116" s="43"/>
      <c r="I116" s="43"/>
      <c r="N116" s="47"/>
      <c r="O116" s="248"/>
      <c r="P116" s="355" t="str">
        <f t="shared" si="2"/>
        <v>Verkningsgrad VV vid DVUT -15,5 För beräkning erforderlig netto-effekt</v>
      </c>
      <c r="Q116" s="355"/>
      <c r="R116" s="355"/>
      <c r="S116" s="275" t="str">
        <f t="shared" si="3"/>
        <v>ƞ</v>
      </c>
      <c r="T116" s="311">
        <f t="shared" si="3"/>
        <v>2.4769999999999999</v>
      </c>
      <c r="U116" s="40"/>
      <c r="V116" s="48"/>
    </row>
    <row r="117" spans="2:22" ht="17" customHeight="1">
      <c r="B117" s="41"/>
      <c r="C117" s="41"/>
      <c r="D117" s="42"/>
      <c r="E117" s="43"/>
      <c r="F117" s="43"/>
      <c r="G117" s="43"/>
      <c r="H117" s="43"/>
      <c r="I117" s="43"/>
      <c r="N117" s="47"/>
      <c r="O117" s="248"/>
      <c r="P117" s="355" t="str">
        <f t="shared" si="2"/>
        <v>Nett0 effekt (köpt) uppvärmning VV. 500 W brutto / lgh enl BBR</v>
      </c>
      <c r="Q117" s="355"/>
      <c r="R117" s="355"/>
      <c r="S117" s="275" t="str">
        <f t="shared" si="3"/>
        <v>kW</v>
      </c>
      <c r="T117" s="278">
        <f t="shared" si="3"/>
        <v>0.20185708518368997</v>
      </c>
      <c r="U117" s="40"/>
      <c r="V117" s="48"/>
    </row>
    <row r="118" spans="2:22" ht="17" customHeight="1">
      <c r="B118" s="41"/>
      <c r="C118" s="41"/>
      <c r="D118" s="42"/>
      <c r="E118" s="43"/>
      <c r="F118" s="43"/>
      <c r="G118" s="43"/>
      <c r="H118" s="43"/>
      <c r="I118" s="43"/>
      <c r="N118" s="47"/>
      <c r="O118" s="248"/>
      <c r="P118" s="355" t="s">
        <v>676</v>
      </c>
      <c r="Q118" s="355"/>
      <c r="R118" s="355"/>
      <c r="S118" s="262" t="str">
        <f>S117</f>
        <v>kW</v>
      </c>
      <c r="T118" s="315">
        <f>IF(D225,T117,0)</f>
        <v>0.20185708518368997</v>
      </c>
      <c r="U118" s="40"/>
      <c r="V118" s="48"/>
    </row>
    <row r="119" spans="2:22" ht="18" customHeight="1">
      <c r="B119" s="41"/>
      <c r="C119" s="41"/>
      <c r="D119" s="42"/>
      <c r="E119" s="43"/>
      <c r="F119" s="43"/>
      <c r="G119" s="43"/>
      <c r="H119" s="43"/>
      <c r="I119" s="43"/>
      <c r="N119" s="47"/>
      <c r="P119" s="248" t="str">
        <f>A43</f>
        <v xml:space="preserve"> 3 Fastighetsenergi, ventilation &amp; installationer.</v>
      </c>
      <c r="R119"/>
      <c r="T119" s="59"/>
      <c r="U119" s="40"/>
      <c r="V119" s="48"/>
    </row>
    <row r="120" spans="2:22" ht="17" customHeight="1">
      <c r="B120" s="41"/>
      <c r="C120" s="41"/>
      <c r="D120" s="42"/>
      <c r="E120" s="43"/>
      <c r="F120" s="43"/>
      <c r="G120" s="43"/>
      <c r="H120" s="43"/>
      <c r="I120" s="43"/>
      <c r="N120" s="47"/>
      <c r="O120" s="248"/>
      <c r="P120" s="355" t="str">
        <f t="shared" ref="P120:P126" si="4">B44</f>
        <v>Ventilationstyp</v>
      </c>
      <c r="Q120" s="355"/>
      <c r="R120" s="355"/>
      <c r="S120" s="263"/>
      <c r="T120" s="276" t="str">
        <f t="shared" ref="T120:T126" si="5">D44</f>
        <v>FTX</v>
      </c>
      <c r="U120" s="40"/>
      <c r="V120" s="48"/>
    </row>
    <row r="121" spans="2:22" ht="17" customHeight="1">
      <c r="B121" s="41"/>
      <c r="C121" s="41"/>
      <c r="D121" s="42"/>
      <c r="E121" s="43"/>
      <c r="F121" s="43"/>
      <c r="G121" s="43"/>
      <c r="H121" s="43"/>
      <c r="I121" s="43"/>
      <c r="N121" s="47"/>
      <c r="O121" s="248"/>
      <c r="P121" s="355" t="str">
        <f t="shared" si="4"/>
        <v>FSP Fläktmotorer</v>
      </c>
      <c r="Q121" s="355"/>
      <c r="R121" s="355"/>
      <c r="S121" s="275" t="str">
        <f t="shared" ref="S121:S126" si="6">C45</f>
        <v>W//l/s</v>
      </c>
      <c r="T121" s="311">
        <f t="shared" si="5"/>
        <v>2</v>
      </c>
      <c r="U121" s="40"/>
      <c r="V121" s="48"/>
    </row>
    <row r="122" spans="2:22" ht="17" customHeight="1">
      <c r="B122" s="41"/>
      <c r="C122" s="41"/>
      <c r="D122" s="42"/>
      <c r="E122" s="43"/>
      <c r="F122" s="43"/>
      <c r="G122" s="43"/>
      <c r="H122" s="43"/>
      <c r="I122" s="43"/>
      <c r="N122" s="47"/>
      <c r="O122" s="248"/>
      <c r="P122" s="355" t="str">
        <f t="shared" si="4"/>
        <v>Energiåtgång fläktmotorer</v>
      </c>
      <c r="Q122" s="355"/>
      <c r="R122" s="355"/>
      <c r="S122" s="275" t="str">
        <f t="shared" si="6"/>
        <v>W/m2</v>
      </c>
      <c r="T122" s="276">
        <f t="shared" si="5"/>
        <v>0.7</v>
      </c>
      <c r="U122" s="40"/>
      <c r="V122" s="48"/>
    </row>
    <row r="123" spans="2:22" ht="17" customHeight="1">
      <c r="B123" s="41"/>
      <c r="C123" s="41"/>
      <c r="D123" s="42"/>
      <c r="E123" s="43"/>
      <c r="F123" s="43"/>
      <c r="G123" s="43"/>
      <c r="H123" s="43"/>
      <c r="I123" s="43"/>
      <c r="N123" s="47"/>
      <c r="O123" s="248"/>
      <c r="P123" s="355" t="str">
        <f t="shared" si="4"/>
        <v>Energiåtgång cirkulationspumpar</v>
      </c>
      <c r="Q123" s="355"/>
      <c r="R123" s="355"/>
      <c r="S123" s="275" t="str">
        <f t="shared" si="6"/>
        <v>W/m2</v>
      </c>
      <c r="T123" s="276">
        <f t="shared" si="5"/>
        <v>0.15</v>
      </c>
      <c r="U123" s="40"/>
      <c r="V123" s="48"/>
    </row>
    <row r="124" spans="2:22" ht="17" customHeight="1">
      <c r="B124" s="41"/>
      <c r="C124" s="41"/>
      <c r="D124" s="42"/>
      <c r="E124" s="43"/>
      <c r="F124" s="43"/>
      <c r="G124" s="43"/>
      <c r="H124" s="43"/>
      <c r="I124" s="43"/>
      <c r="N124" s="47"/>
      <c r="P124" s="355" t="str">
        <f t="shared" si="4"/>
        <v>Elektrisk energiåtgång för fläktar och cirkulationspumpar.</v>
      </c>
      <c r="Q124" s="355"/>
      <c r="R124" s="355"/>
      <c r="S124" s="275" t="str">
        <f t="shared" si="6"/>
        <v>kWh/år</v>
      </c>
      <c r="T124" s="336">
        <f t="shared" si="5"/>
        <v>1116.9000000000001</v>
      </c>
      <c r="U124" s="50"/>
      <c r="V124" s="48"/>
    </row>
    <row r="125" spans="2:22" ht="17" customHeight="1">
      <c r="B125" s="41"/>
      <c r="C125" s="41"/>
      <c r="D125" s="42"/>
      <c r="E125" s="43"/>
      <c r="F125" s="43"/>
      <c r="G125" s="43"/>
      <c r="H125" s="43"/>
      <c r="I125" s="43"/>
      <c r="N125" s="47"/>
      <c r="P125" s="355" t="str">
        <f t="shared" si="4"/>
        <v>Energiåtgång övrig fastighetsel</v>
      </c>
      <c r="Q125" s="355"/>
      <c r="R125" s="355"/>
      <c r="S125" s="275" t="str">
        <f t="shared" si="6"/>
        <v>kWh/år</v>
      </c>
      <c r="T125" s="276">
        <f t="shared" si="5"/>
        <v>0</v>
      </c>
      <c r="U125" s="50"/>
      <c r="V125" s="48"/>
    </row>
    <row r="126" spans="2:22" ht="17" customHeight="1">
      <c r="B126" s="41"/>
      <c r="C126" s="41"/>
      <c r="D126" s="42"/>
      <c r="E126" s="43"/>
      <c r="F126" s="43"/>
      <c r="G126" s="43"/>
      <c r="H126" s="43"/>
      <c r="I126" s="43"/>
      <c r="N126" s="47"/>
      <c r="P126" s="355" t="str">
        <f t="shared" si="4"/>
        <v>Energiåtgång för fastighetens installationer: totalt</v>
      </c>
      <c r="Q126" s="355"/>
      <c r="R126" s="355"/>
      <c r="S126" s="275" t="str">
        <f t="shared" si="6"/>
        <v>kWh/år</v>
      </c>
      <c r="T126" s="336">
        <f t="shared" si="5"/>
        <v>1116.9000000000001</v>
      </c>
      <c r="U126" s="50"/>
      <c r="V126" s="48"/>
    </row>
    <row r="127" spans="2:22" ht="18" customHeight="1">
      <c r="B127" s="41"/>
      <c r="C127" s="41"/>
      <c r="D127" s="42"/>
      <c r="E127" s="43"/>
      <c r="F127" s="43"/>
      <c r="G127" s="43"/>
      <c r="H127" s="43"/>
      <c r="I127" s="43"/>
      <c r="N127" s="47"/>
      <c r="P127" s="33" t="str">
        <f>A54</f>
        <v>4 BBR -Primärtal delparametrar</v>
      </c>
      <c r="R127"/>
      <c r="S127" s="52"/>
      <c r="T127" s="58"/>
      <c r="U127" s="50"/>
      <c r="V127" s="48"/>
    </row>
    <row r="128" spans="2:22" ht="24" customHeight="1">
      <c r="B128" s="41"/>
      <c r="C128" s="41"/>
      <c r="D128" s="42"/>
      <c r="E128" s="43"/>
      <c r="F128" s="43"/>
      <c r="G128" s="43"/>
      <c r="H128" s="43"/>
      <c r="I128" s="43"/>
      <c r="N128" s="47"/>
      <c r="O128" s="33"/>
      <c r="P128" s="355" t="str">
        <f>B26</f>
        <v>Netto energi (köpt) för uppvärmning och ventillation /1 (Fgeo Stockholm)</v>
      </c>
      <c r="Q128" s="355"/>
      <c r="R128" s="355"/>
      <c r="S128" s="291" t="str">
        <f>C26</f>
        <v>mod(kWh/år)</v>
      </c>
      <c r="T128" s="337">
        <f>D26</f>
        <v>240</v>
      </c>
      <c r="U128" s="50"/>
      <c r="V128" s="48"/>
    </row>
    <row r="129" spans="2:22" ht="17" customHeight="1">
      <c r="B129" s="41"/>
      <c r="C129" s="41"/>
      <c r="D129" s="42"/>
      <c r="E129" s="43"/>
      <c r="F129" s="43"/>
      <c r="G129" s="43"/>
      <c r="H129" s="43"/>
      <c r="I129" s="43"/>
      <c r="N129" s="47"/>
      <c r="O129" s="33"/>
      <c r="P129" s="355" t="str">
        <f>B37</f>
        <v>Netto energi (köpt) för varmvatten( Etvvv)</v>
      </c>
      <c r="Q129" s="355"/>
      <c r="R129" s="355"/>
      <c r="S129" s="291" t="str">
        <f>C37</f>
        <v>kWh/år</v>
      </c>
      <c r="T129" s="337">
        <f>D37</f>
        <v>1200</v>
      </c>
      <c r="U129" s="50"/>
      <c r="V129" s="48"/>
    </row>
    <row r="130" spans="2:22" ht="17" customHeight="1">
      <c r="B130" s="41"/>
      <c r="C130" s="41"/>
      <c r="D130" s="42"/>
      <c r="E130" s="43"/>
      <c r="F130" s="43"/>
      <c r="G130" s="43"/>
      <c r="H130" s="43"/>
      <c r="I130" s="43"/>
      <c r="N130" s="47"/>
      <c r="O130" s="33"/>
      <c r="P130" s="355" t="str">
        <f>B50</f>
        <v>Energiåtgång för fastighetens installationer: totalt</v>
      </c>
      <c r="Q130" s="355"/>
      <c r="R130" s="355"/>
      <c r="S130" s="291" t="str">
        <f>C50</f>
        <v>kWh/år</v>
      </c>
      <c r="T130" s="337">
        <f>D50</f>
        <v>1116.9000000000001</v>
      </c>
      <c r="U130" s="50"/>
      <c r="V130" s="48"/>
    </row>
    <row r="131" spans="2:22" ht="17" customHeight="1">
      <c r="B131" s="41"/>
      <c r="C131" s="41"/>
      <c r="D131" s="42"/>
      <c r="E131" s="43"/>
      <c r="F131" s="43"/>
      <c r="G131" s="43"/>
      <c r="H131" s="43"/>
      <c r="I131" s="43"/>
      <c r="N131" s="47"/>
      <c r="P131" s="355" t="str">
        <f>B55</f>
        <v>Primärenergifaktor uppvärmning &amp; VV via BEN / Jord/berg/sjö värmepump</v>
      </c>
      <c r="Q131" s="355"/>
      <c r="R131" s="355"/>
      <c r="S131" s="274" t="str">
        <f t="shared" ref="S131:T133" si="7">C55</f>
        <v>Pei</v>
      </c>
      <c r="T131" s="276">
        <f t="shared" si="7"/>
        <v>1.6</v>
      </c>
      <c r="U131" s="50"/>
      <c r="V131" s="48"/>
    </row>
    <row r="132" spans="2:22" ht="17" customHeight="1">
      <c r="B132" s="41"/>
      <c r="C132" s="41"/>
      <c r="D132" s="42"/>
      <c r="E132" s="43"/>
      <c r="F132" s="43"/>
      <c r="G132" s="43"/>
      <c r="H132" s="43"/>
      <c r="I132" s="43"/>
      <c r="N132" s="47"/>
      <c r="P132" s="355" t="str">
        <f>B56</f>
        <v>Primärenergifaktor fastighetsenergi El</v>
      </c>
      <c r="Q132" s="355"/>
      <c r="R132" s="355"/>
      <c r="S132" s="274" t="str">
        <f t="shared" si="7"/>
        <v>Pei</v>
      </c>
      <c r="T132" s="276">
        <f t="shared" si="7"/>
        <v>1.6</v>
      </c>
      <c r="U132" s="50"/>
      <c r="V132" s="48"/>
    </row>
    <row r="133" spans="2:22" ht="26" customHeight="1">
      <c r="B133" s="41"/>
      <c r="C133" s="41"/>
      <c r="D133" s="42"/>
      <c r="E133" s="43"/>
      <c r="F133" s="43"/>
      <c r="G133" s="43"/>
      <c r="H133" s="43"/>
      <c r="I133" s="43"/>
      <c r="N133" s="47"/>
      <c r="P133" s="355" t="str">
        <f>B57</f>
        <v>Byggnadens primärenergital    EPpet</v>
      </c>
      <c r="Q133" s="355"/>
      <c r="R133" s="355"/>
      <c r="S133" s="274" t="str">
        <f t="shared" si="7"/>
        <v>modifierad_x000D_kWh/m2/år</v>
      </c>
      <c r="T133" s="311">
        <f t="shared" si="7"/>
        <v>27.273599999999998</v>
      </c>
      <c r="U133" s="50"/>
      <c r="V133" s="48"/>
    </row>
    <row r="134" spans="2:22" ht="17" customHeight="1">
      <c r="B134" s="41"/>
      <c r="C134" s="41"/>
      <c r="D134" s="42"/>
      <c r="E134" s="43"/>
      <c r="F134" s="43"/>
      <c r="G134" s="43"/>
      <c r="H134" s="43"/>
      <c r="I134" s="43"/>
      <c r="N134" s="47"/>
      <c r="P134" s="355" t="str">
        <f>B59</f>
        <v/>
      </c>
      <c r="Q134" s="355"/>
      <c r="R134" s="355"/>
      <c r="S134" s="274" t="str">
        <f>C59</f>
        <v/>
      </c>
      <c r="T134" s="311" t="str">
        <f>D59</f>
        <v/>
      </c>
      <c r="U134" s="50"/>
      <c r="V134" s="48"/>
    </row>
    <row r="135" spans="2:22" ht="26" customHeight="1">
      <c r="B135" s="41"/>
      <c r="C135" s="41"/>
      <c r="D135" s="42"/>
      <c r="E135" s="43"/>
      <c r="F135" s="43"/>
      <c r="G135" s="43"/>
      <c r="H135" s="43"/>
      <c r="I135" s="43"/>
      <c r="N135" s="47"/>
      <c r="P135" s="33" t="str">
        <f>A60</f>
        <v>Nyckeltal  - utöver  BBR redovisning</v>
      </c>
      <c r="R135"/>
      <c r="S135" s="141"/>
      <c r="T135" s="141"/>
      <c r="U135" s="50"/>
      <c r="V135" s="48"/>
    </row>
    <row r="136" spans="2:22" ht="17" customHeight="1">
      <c r="B136" s="41"/>
      <c r="C136" s="41"/>
      <c r="D136" s="42"/>
      <c r="E136" s="43"/>
      <c r="F136" s="43"/>
      <c r="G136" s="43"/>
      <c r="H136" s="43"/>
      <c r="I136" s="43"/>
      <c r="N136" s="47"/>
      <c r="P136" s="355" t="str">
        <f t="shared" ref="P136:P141" si="8">B62</f>
        <v>Total erforderlig energiförbrukning för uppvärmning av byggnaden och varmvatten</v>
      </c>
      <c r="Q136" s="355"/>
      <c r="R136" s="355"/>
      <c r="S136" s="274" t="str">
        <f>C62</f>
        <v>kWh/år</v>
      </c>
      <c r="T136" s="336">
        <f>D62</f>
        <v>3600</v>
      </c>
      <c r="U136" s="50"/>
      <c r="V136" s="48"/>
    </row>
    <row r="137" spans="2:22" ht="17" customHeight="1">
      <c r="B137" s="41"/>
      <c r="C137" s="41"/>
      <c r="D137" s="42"/>
      <c r="E137" s="43"/>
      <c r="F137" s="43"/>
      <c r="G137" s="43"/>
      <c r="H137" s="43"/>
      <c r="I137" s="43"/>
      <c r="N137" s="47"/>
      <c r="P137" s="355" t="str">
        <f t="shared" si="8"/>
        <v>Jord/Berg -värmepump besparing @BEN</v>
      </c>
      <c r="Q137" s="355"/>
      <c r="R137" s="355"/>
      <c r="S137" s="262" t="s">
        <v>56</v>
      </c>
      <c r="T137" s="336">
        <f>D63</f>
        <v>2160</v>
      </c>
      <c r="U137" s="50"/>
      <c r="V137" s="48"/>
    </row>
    <row r="138" spans="2:22" ht="29" customHeight="1">
      <c r="B138" s="41"/>
      <c r="C138" s="41"/>
      <c r="D138" s="42"/>
      <c r="E138" s="43"/>
      <c r="F138" s="43"/>
      <c r="G138" s="43"/>
      <c r="H138" s="43"/>
      <c r="I138" s="43"/>
      <c r="N138" s="47"/>
      <c r="O138" s="49"/>
      <c r="P138" s="355" t="str">
        <f t="shared" si="8"/>
        <v>Totalt netto energi för uppvärmning och varmvatten. Hänsyn tagen till värmesystemets verkningsgrad.</v>
      </c>
      <c r="Q138" s="355"/>
      <c r="R138" s="355"/>
      <c r="S138" s="332" t="str">
        <f>C64</f>
        <v>kWh/år</v>
      </c>
      <c r="T138" s="336">
        <f>D64</f>
        <v>1440</v>
      </c>
      <c r="U138" s="50"/>
      <c r="V138" s="48"/>
    </row>
    <row r="139" spans="2:22" ht="17" customHeight="1">
      <c r="B139" s="41"/>
      <c r="C139" s="41"/>
      <c r="D139" s="42"/>
      <c r="E139" s="43"/>
      <c r="F139" s="43"/>
      <c r="G139" s="43"/>
      <c r="H139" s="43"/>
      <c r="I139" s="43"/>
      <c r="N139" s="47"/>
      <c r="P139" s="355" t="str">
        <f t="shared" si="8"/>
        <v>Energiåtgång för fastighetens installationer: totalt</v>
      </c>
      <c r="Q139" s="355"/>
      <c r="R139" s="355"/>
      <c r="S139" s="332" t="str">
        <f>C65</f>
        <v>kWh/år</v>
      </c>
      <c r="T139" s="336">
        <f>D65</f>
        <v>1116.9000000000001</v>
      </c>
      <c r="U139" s="50"/>
      <c r="V139" s="48"/>
    </row>
    <row r="140" spans="2:22" ht="17" customHeight="1">
      <c r="B140" s="41"/>
      <c r="C140" s="41"/>
      <c r="D140" s="42"/>
      <c r="E140" s="43"/>
      <c r="F140" s="43"/>
      <c r="G140" s="43"/>
      <c r="H140" s="43"/>
      <c r="I140" s="43"/>
      <c r="N140" s="47"/>
      <c r="O140" s="49"/>
      <c r="P140" s="355" t="str">
        <f t="shared" si="8"/>
        <v>Total netto energiförbrukning (köpt energi ) för värme varmvatten och fastighetsenergi.</v>
      </c>
      <c r="Q140" s="355"/>
      <c r="R140" s="355"/>
      <c r="S140" s="275" t="str">
        <f>C66</f>
        <v>kWh/år</v>
      </c>
      <c r="T140" s="336">
        <f>D66</f>
        <v>2556.9</v>
      </c>
      <c r="U140" s="50"/>
      <c r="V140" s="48"/>
    </row>
    <row r="141" spans="2:22" ht="17" customHeight="1">
      <c r="B141" s="41"/>
      <c r="C141" s="41"/>
      <c r="D141" s="42"/>
      <c r="E141" s="43"/>
      <c r="F141" s="43"/>
      <c r="G141" s="43"/>
      <c r="H141" s="43"/>
      <c r="I141" s="43"/>
      <c r="N141" s="125"/>
      <c r="O141" s="49"/>
      <c r="P141" s="355" t="str">
        <f t="shared" si="8"/>
        <v>Specefik energi: (köpt energi för uppvärmning, VV. och fastighetsel) / Atemp</v>
      </c>
      <c r="Q141" s="355"/>
      <c r="R141" s="355"/>
      <c r="S141" s="275" t="str">
        <f>C67</f>
        <v>kWh/m2/år</v>
      </c>
      <c r="T141" s="335">
        <f>D67</f>
        <v>17.045999999999999</v>
      </c>
      <c r="U141" s="50"/>
      <c r="V141" s="48"/>
    </row>
    <row r="142" spans="2:22" ht="15" customHeight="1">
      <c r="B142" s="41"/>
      <c r="C142" s="41"/>
      <c r="D142" s="42"/>
      <c r="E142" s="43"/>
      <c r="F142" s="43"/>
      <c r="G142" s="43"/>
      <c r="H142" s="43"/>
      <c r="I142" s="43"/>
      <c r="N142" s="125"/>
      <c r="P142" s="54" t="s">
        <v>63</v>
      </c>
      <c r="R142"/>
      <c r="S142" s="49"/>
      <c r="T142" s="55"/>
      <c r="U142" s="50"/>
      <c r="V142" s="48"/>
    </row>
    <row r="143" spans="2:22" ht="32" customHeight="1">
      <c r="B143" s="41"/>
      <c r="C143" s="41"/>
      <c r="D143" s="42"/>
      <c r="E143" s="43"/>
      <c r="F143" s="43"/>
      <c r="G143" s="43"/>
      <c r="H143" s="43"/>
      <c r="I143" s="43"/>
      <c r="N143" s="47"/>
      <c r="P143" s="370" t="str">
        <f>B71</f>
        <v>Information om energiberäkningar vid bygganmälan hämtade från: Boverkets byggregler - BBR 18 t.om. BBR 28  / BFS 2011:6 t.om. 2019:2 samt BEN-3</v>
      </c>
      <c r="Q143" s="370"/>
      <c r="R143" s="370"/>
      <c r="S143" s="370"/>
      <c r="T143" s="370"/>
      <c r="U143" s="59"/>
      <c r="V143" s="48"/>
    </row>
    <row r="144" spans="2:22" ht="34.5" customHeight="1">
      <c r="B144" s="41"/>
      <c r="C144" s="41"/>
      <c r="D144" s="42"/>
      <c r="E144" s="43"/>
      <c r="F144" s="43"/>
      <c r="G144" s="43"/>
      <c r="H144" s="43"/>
      <c r="I144" s="43"/>
      <c r="N144" s="47"/>
      <c r="P144" s="370" t="str">
        <f>B72</f>
        <v>Energibalansberäkningen är utförd med EnergyCalc  enligt ISO 13790, se bilaga._x000D_Indata anpassade enligt BEN1-3</v>
      </c>
      <c r="Q144" s="370"/>
      <c r="R144" s="370"/>
      <c r="S144" s="370"/>
      <c r="T144" s="370"/>
      <c r="U144" s="323"/>
      <c r="V144" s="48"/>
    </row>
    <row r="145" spans="1:22" ht="17" customHeight="1">
      <c r="B145" s="41"/>
      <c r="C145" s="41"/>
      <c r="D145" s="42"/>
      <c r="E145" s="43"/>
      <c r="F145" s="43"/>
      <c r="G145" s="43"/>
      <c r="H145" s="43"/>
      <c r="I145" s="43"/>
      <c r="N145" s="47"/>
      <c r="P145" s="371" t="str">
        <f>B73</f>
        <v>Värmesystemet och dess prestanda måste kontrolleras dimensioneras av VVS leverantör</v>
      </c>
      <c r="Q145" s="371"/>
      <c r="R145" s="371"/>
      <c r="S145" s="371"/>
      <c r="T145" s="371"/>
      <c r="U145" s="131"/>
      <c r="V145" s="48"/>
    </row>
    <row r="146" spans="1:22" ht="44" customHeight="1">
      <c r="B146" s="41"/>
      <c r="C146" s="41"/>
      <c r="D146" s="42"/>
      <c r="E146" s="43"/>
      <c r="F146" s="43"/>
      <c r="G146" s="43"/>
      <c r="H146" s="43"/>
      <c r="I146" s="43"/>
      <c r="N146" s="47"/>
      <c r="P146" s="372" t="str">
        <f>IF((B74="skriv över med egen kommentar"),"",B74)</f>
        <v/>
      </c>
      <c r="Q146" s="372"/>
      <c r="R146" s="372"/>
      <c r="S146" s="372"/>
      <c r="T146" s="372"/>
      <c r="U146" s="322"/>
      <c r="V146" s="48"/>
    </row>
    <row r="147" spans="1:22" ht="13.5" customHeight="1">
      <c r="C147" s="41"/>
      <c r="D147" s="42"/>
      <c r="E147" s="43"/>
      <c r="F147" s="43"/>
      <c r="G147" s="43"/>
      <c r="H147" s="43"/>
      <c r="I147" s="43"/>
      <c r="N147" s="60"/>
      <c r="O147" s="61"/>
      <c r="P147" s="61"/>
      <c r="Q147" s="61"/>
      <c r="R147" s="246"/>
      <c r="S147" s="61"/>
      <c r="T147" s="61"/>
      <c r="U147" s="61"/>
      <c r="V147" s="37"/>
    </row>
    <row r="148" spans="1:22" ht="12.75" customHeight="1">
      <c r="A148" s="22"/>
      <c r="B148" s="41"/>
      <c r="C148" s="41"/>
      <c r="D148" s="42"/>
      <c r="E148" s="43"/>
      <c r="F148" s="43"/>
      <c r="G148" s="43"/>
      <c r="H148" s="43"/>
      <c r="I148" s="43"/>
    </row>
    <row r="149" spans="1:22" ht="12.75" customHeight="1">
      <c r="A149" s="22"/>
      <c r="B149" s="41"/>
      <c r="C149" s="41"/>
      <c r="D149" s="42"/>
      <c r="E149" s="43"/>
      <c r="F149" s="43"/>
      <c r="G149" s="43"/>
      <c r="H149" s="43"/>
      <c r="I149" s="43"/>
    </row>
    <row r="150" spans="1:22" ht="12.75" customHeight="1">
      <c r="A150" s="22"/>
      <c r="B150" s="41"/>
      <c r="C150" s="41"/>
      <c r="D150" s="42"/>
      <c r="E150" s="43"/>
      <c r="F150" s="43"/>
      <c r="G150" s="43"/>
      <c r="H150" s="43"/>
      <c r="I150" s="43"/>
    </row>
    <row r="151" spans="1:22" ht="12.75" customHeight="1">
      <c r="A151" s="22"/>
      <c r="B151" s="41"/>
      <c r="C151" s="41"/>
      <c r="D151" s="42"/>
      <c r="E151" s="43"/>
      <c r="F151" s="43"/>
      <c r="G151" s="43"/>
      <c r="H151" s="43"/>
      <c r="I151" s="43"/>
    </row>
    <row r="152" spans="1:22" ht="12.75" customHeight="1">
      <c r="A152" s="22"/>
      <c r="B152" s="41"/>
      <c r="C152" s="41"/>
      <c r="D152" s="42"/>
      <c r="E152" s="43"/>
      <c r="F152" s="43"/>
      <c r="G152" s="43"/>
      <c r="H152" s="43"/>
      <c r="I152" s="43"/>
    </row>
    <row r="153" spans="1:22" ht="12.75" customHeight="1">
      <c r="A153" s="22"/>
      <c r="B153" s="41"/>
      <c r="C153" s="41"/>
      <c r="D153" s="42"/>
      <c r="E153" s="43"/>
      <c r="F153" s="43"/>
      <c r="G153" s="43"/>
      <c r="H153" s="43"/>
      <c r="I153" s="43"/>
    </row>
    <row r="154" spans="1:22" ht="12.75" customHeight="1">
      <c r="A154" s="22"/>
      <c r="B154" s="41"/>
      <c r="C154" s="41"/>
      <c r="D154" s="42"/>
      <c r="E154" s="43"/>
      <c r="F154" s="43"/>
      <c r="G154" s="43"/>
      <c r="H154" s="43"/>
      <c r="I154" s="43"/>
    </row>
    <row r="155" spans="1:22" ht="12.75" customHeight="1">
      <c r="A155" s="22"/>
      <c r="B155" s="41"/>
      <c r="C155" s="41"/>
      <c r="D155" s="42"/>
      <c r="E155" s="43"/>
      <c r="F155" s="43"/>
      <c r="G155" s="43"/>
      <c r="H155" s="43"/>
      <c r="I155" s="43"/>
    </row>
    <row r="156" spans="1:22" ht="12.75" customHeight="1">
      <c r="A156" s="22"/>
      <c r="B156" s="41"/>
      <c r="C156" s="41"/>
      <c r="D156" s="42"/>
      <c r="E156" s="43"/>
      <c r="F156" s="43"/>
      <c r="G156" s="43"/>
      <c r="H156" s="43"/>
      <c r="I156" s="43"/>
    </row>
    <row r="157" spans="1:22" ht="12.75" customHeight="1">
      <c r="A157" s="22"/>
      <c r="B157" s="41"/>
      <c r="C157" s="41"/>
      <c r="D157" s="42"/>
      <c r="E157" s="43"/>
      <c r="F157" s="43"/>
      <c r="G157" s="43"/>
      <c r="H157" s="43"/>
      <c r="I157" s="43"/>
    </row>
    <row r="158" spans="1:22" ht="12.75" customHeight="1">
      <c r="A158" s="22"/>
      <c r="B158" s="41"/>
      <c r="C158" s="41"/>
      <c r="D158" s="42"/>
      <c r="E158" s="43"/>
      <c r="F158" s="43"/>
      <c r="G158" s="43"/>
      <c r="H158" s="43"/>
      <c r="I158" s="43"/>
    </row>
    <row r="159" spans="1:22" ht="12.75" customHeight="1">
      <c r="A159" s="22"/>
      <c r="B159" s="41"/>
      <c r="C159" s="41"/>
      <c r="D159" s="42"/>
      <c r="E159" s="43"/>
      <c r="F159" s="43"/>
      <c r="G159" s="43"/>
      <c r="H159" s="43"/>
      <c r="I159" s="43"/>
    </row>
    <row r="160" spans="1:22" ht="12.75" customHeight="1">
      <c r="A160" s="22"/>
      <c r="B160" s="41"/>
      <c r="C160" s="41"/>
      <c r="D160" s="42"/>
      <c r="E160" s="43"/>
      <c r="F160" s="43"/>
      <c r="G160" s="43"/>
      <c r="H160" s="43"/>
      <c r="I160" s="43"/>
    </row>
    <row r="161" spans="1:9" ht="12.75" customHeight="1">
      <c r="A161" s="22"/>
      <c r="B161" s="41"/>
      <c r="C161" s="41"/>
      <c r="D161" s="42"/>
      <c r="E161" s="43"/>
      <c r="F161" s="43"/>
      <c r="G161" s="43"/>
      <c r="H161" s="43"/>
      <c r="I161" s="43"/>
    </row>
    <row r="162" spans="1:9" ht="12.75" customHeight="1">
      <c r="A162" s="22"/>
      <c r="B162" s="41"/>
      <c r="C162" s="41"/>
      <c r="D162" s="42"/>
      <c r="E162" s="43"/>
      <c r="F162" s="43"/>
      <c r="G162" s="43"/>
      <c r="H162" s="43"/>
      <c r="I162" s="43"/>
    </row>
    <row r="163" spans="1:9" ht="12.75" customHeight="1">
      <c r="A163" s="22"/>
      <c r="B163" s="41"/>
      <c r="C163" s="41"/>
      <c r="D163" s="42"/>
      <c r="E163" s="43"/>
      <c r="F163" s="43"/>
      <c r="G163" s="43"/>
      <c r="H163" s="43"/>
      <c r="I163" s="43"/>
    </row>
    <row r="164" spans="1:9" ht="12.75" customHeight="1">
      <c r="A164" s="22"/>
      <c r="B164" s="41"/>
      <c r="C164" s="41"/>
      <c r="D164" s="42"/>
      <c r="E164" s="43"/>
      <c r="F164" s="43"/>
      <c r="G164" s="43"/>
      <c r="H164" s="43"/>
      <c r="I164" s="43"/>
    </row>
    <row r="165" spans="1:9" ht="12.75" customHeight="1">
      <c r="A165" s="22"/>
      <c r="B165" s="41"/>
      <c r="C165" s="41"/>
      <c r="D165" s="42"/>
      <c r="E165" s="43"/>
      <c r="F165" s="43"/>
      <c r="G165" s="43"/>
      <c r="H165" s="43"/>
      <c r="I165" s="43"/>
    </row>
    <row r="166" spans="1:9" ht="12.75" customHeight="1">
      <c r="A166" s="22"/>
      <c r="B166" s="41"/>
      <c r="C166" s="41"/>
      <c r="D166" s="42"/>
      <c r="E166" s="43"/>
      <c r="F166" s="43"/>
      <c r="G166" s="43"/>
      <c r="H166" s="43"/>
      <c r="I166" s="43"/>
    </row>
    <row r="167" spans="1:9" ht="12.75" customHeight="1">
      <c r="A167" s="22"/>
      <c r="B167" s="41"/>
      <c r="C167" s="41"/>
      <c r="D167" s="42"/>
      <c r="E167" s="43"/>
      <c r="F167" s="43"/>
      <c r="G167" s="43"/>
      <c r="H167" s="43"/>
      <c r="I167" s="43"/>
    </row>
    <row r="168" spans="1:9" ht="12.75" customHeight="1">
      <c r="A168" s="22"/>
      <c r="B168" s="41"/>
      <c r="C168" s="41"/>
      <c r="D168" s="42"/>
      <c r="E168" s="43"/>
      <c r="F168" s="43"/>
      <c r="G168" s="43"/>
      <c r="H168" s="43"/>
      <c r="I168" s="43"/>
    </row>
    <row r="169" spans="1:9" ht="12.75" customHeight="1">
      <c r="A169" s="22"/>
      <c r="B169" s="41"/>
      <c r="C169" s="41"/>
      <c r="D169" s="42"/>
      <c r="E169" s="43"/>
      <c r="F169" s="43"/>
      <c r="G169" s="43"/>
      <c r="H169" s="43"/>
      <c r="I169" s="43"/>
    </row>
    <row r="170" spans="1:9" ht="12.75" customHeight="1">
      <c r="A170" s="22"/>
      <c r="B170" s="41"/>
      <c r="C170" s="41"/>
      <c r="D170" s="42"/>
      <c r="E170" s="43"/>
      <c r="F170" s="43"/>
      <c r="G170" s="43"/>
      <c r="H170" s="43"/>
      <c r="I170" s="43"/>
    </row>
    <row r="171" spans="1:9" ht="12.75" customHeight="1">
      <c r="A171" s="22"/>
      <c r="B171" s="41"/>
      <c r="C171" s="41"/>
      <c r="D171" s="42"/>
      <c r="E171" s="43"/>
      <c r="F171" s="43"/>
      <c r="G171" s="43"/>
      <c r="H171" s="43"/>
      <c r="I171" s="43"/>
    </row>
    <row r="172" spans="1:9" ht="12.75" customHeight="1">
      <c r="A172" s="22"/>
      <c r="B172" s="41"/>
      <c r="C172" s="41"/>
      <c r="D172" s="42"/>
      <c r="E172" s="43"/>
      <c r="F172" s="43"/>
      <c r="G172" s="43"/>
      <c r="H172" s="43"/>
      <c r="I172" s="43"/>
    </row>
    <row r="173" spans="1:9" ht="12.75" customHeight="1">
      <c r="A173" s="22"/>
      <c r="B173" s="41"/>
      <c r="C173" s="41"/>
      <c r="D173" s="42"/>
      <c r="E173" s="43"/>
      <c r="F173" s="43"/>
      <c r="G173" s="43"/>
      <c r="H173" s="43"/>
      <c r="I173" s="43"/>
    </row>
    <row r="174" spans="1:9" ht="12.75" customHeight="1">
      <c r="A174" s="22"/>
      <c r="B174" s="41"/>
      <c r="C174" s="41"/>
      <c r="D174" s="42"/>
      <c r="E174" s="43"/>
      <c r="F174" s="43"/>
      <c r="G174" s="43"/>
      <c r="H174" s="43"/>
      <c r="I174" s="43"/>
    </row>
    <row r="175" spans="1:9" ht="12.75" customHeight="1">
      <c r="A175" s="22"/>
      <c r="B175" s="41"/>
      <c r="C175" s="41"/>
      <c r="D175" s="42"/>
      <c r="E175" s="43"/>
      <c r="F175" s="43"/>
      <c r="G175" s="43"/>
      <c r="H175" s="43"/>
      <c r="I175" s="43"/>
    </row>
    <row r="176" spans="1:9" ht="12.75" customHeight="1">
      <c r="A176" s="22"/>
      <c r="B176" s="41"/>
      <c r="C176" s="41"/>
      <c r="D176" s="42"/>
      <c r="E176" s="43"/>
      <c r="F176" s="43"/>
      <c r="G176" s="43"/>
      <c r="H176" s="43"/>
      <c r="I176" s="43"/>
    </row>
    <row r="177" spans="1:11" ht="12.75" customHeight="1">
      <c r="A177" s="22"/>
      <c r="B177" s="41"/>
      <c r="C177" s="41"/>
      <c r="D177" s="42"/>
      <c r="E177" s="43"/>
      <c r="F177" s="43"/>
      <c r="G177" s="43"/>
      <c r="H177" s="43"/>
      <c r="I177" s="43"/>
    </row>
    <row r="178" spans="1:11" ht="12.75" customHeight="1">
      <c r="A178" s="22"/>
      <c r="B178" s="41"/>
      <c r="C178" s="41"/>
      <c r="D178" s="42"/>
      <c r="E178" s="43"/>
      <c r="F178" s="43"/>
      <c r="G178" s="43"/>
      <c r="H178" s="43"/>
      <c r="I178" s="43"/>
    </row>
    <row r="179" spans="1:11" ht="12.75" customHeight="1">
      <c r="A179" s="22"/>
      <c r="B179" s="41"/>
      <c r="C179" s="41"/>
      <c r="D179" s="42"/>
      <c r="E179" s="43"/>
      <c r="F179" s="43"/>
      <c r="G179" s="43"/>
      <c r="H179" s="43"/>
      <c r="I179" s="43"/>
    </row>
    <row r="180" spans="1:11" ht="12.75" customHeight="1">
      <c r="A180" s="22"/>
      <c r="B180" s="41"/>
      <c r="C180" s="41"/>
      <c r="D180" s="42"/>
      <c r="E180" s="43"/>
      <c r="F180" s="43"/>
      <c r="G180" s="43"/>
      <c r="H180" s="43"/>
      <c r="I180" s="43"/>
    </row>
    <row r="181" spans="1:11" ht="12.75" customHeight="1">
      <c r="A181" s="22"/>
      <c r="B181" s="41"/>
      <c r="C181" s="41"/>
      <c r="D181" s="42"/>
      <c r="E181" s="43"/>
      <c r="F181" s="43"/>
      <c r="G181" s="43"/>
      <c r="H181" s="43"/>
      <c r="I181" s="43"/>
    </row>
    <row r="182" spans="1:11" ht="12.75" customHeight="1">
      <c r="A182" s="22"/>
      <c r="B182" s="41"/>
      <c r="C182" s="41"/>
      <c r="D182" s="42"/>
      <c r="E182" s="43"/>
      <c r="F182" s="43"/>
      <c r="G182" s="43"/>
      <c r="H182" s="43"/>
      <c r="I182" s="43"/>
    </row>
    <row r="183" spans="1:11" ht="12.75" customHeight="1">
      <c r="A183" s="22"/>
      <c r="B183" s="41"/>
      <c r="C183" s="41"/>
      <c r="D183" s="42"/>
      <c r="E183" s="43"/>
      <c r="F183" s="43"/>
      <c r="G183" s="43"/>
      <c r="H183" s="43"/>
      <c r="I183" s="43"/>
    </row>
    <row r="184" spans="1:11" ht="12.75" customHeight="1">
      <c r="A184" s="22"/>
      <c r="B184" s="41"/>
      <c r="C184" s="41"/>
      <c r="D184" s="42"/>
      <c r="E184" s="43"/>
      <c r="F184" s="43"/>
      <c r="G184" s="43"/>
      <c r="H184" s="43"/>
      <c r="I184" s="43"/>
    </row>
    <row r="185" spans="1:11" ht="12.75" customHeight="1">
      <c r="A185" s="22"/>
      <c r="B185" s="41"/>
      <c r="C185" s="41"/>
      <c r="D185" s="42"/>
      <c r="E185" s="43"/>
      <c r="F185" s="43"/>
      <c r="G185" s="43"/>
      <c r="H185" s="43"/>
      <c r="I185" s="43"/>
    </row>
    <row r="186" spans="1:11" ht="12.75" customHeight="1">
      <c r="A186" s="22"/>
      <c r="B186" s="41"/>
      <c r="C186" s="41"/>
      <c r="D186" s="42"/>
      <c r="E186" s="43"/>
      <c r="F186" s="43"/>
      <c r="G186" s="43"/>
      <c r="H186" s="43"/>
      <c r="I186" s="43"/>
    </row>
    <row r="187" spans="1:11" ht="12.75" customHeight="1">
      <c r="A187" s="22"/>
      <c r="B187" s="41"/>
      <c r="C187" s="41"/>
      <c r="D187" s="42"/>
      <c r="E187" s="43"/>
      <c r="F187" s="43"/>
      <c r="G187" s="43"/>
      <c r="H187" s="43"/>
      <c r="I187" s="43"/>
    </row>
    <row r="188" spans="1:11" ht="12.75" customHeight="1">
      <c r="A188" s="22"/>
      <c r="B188" s="41"/>
      <c r="C188" s="41"/>
      <c r="D188" s="42"/>
      <c r="E188" s="43"/>
      <c r="F188" s="43"/>
      <c r="G188" s="43"/>
      <c r="H188" s="43"/>
      <c r="I188" s="43"/>
    </row>
    <row r="189" spans="1:11" ht="12.75" customHeight="1">
      <c r="A189" s="22"/>
      <c r="B189" s="41"/>
      <c r="C189" s="41"/>
      <c r="D189" s="42"/>
      <c r="E189" s="43"/>
      <c r="F189" s="43"/>
      <c r="G189" s="43"/>
      <c r="H189" s="43"/>
      <c r="I189" s="43"/>
    </row>
    <row r="190" spans="1:11" ht="12.75" customHeight="1">
      <c r="A190" s="22"/>
      <c r="B190" s="41"/>
      <c r="C190" s="41"/>
      <c r="D190" s="42"/>
      <c r="E190" s="43"/>
      <c r="F190" s="43"/>
      <c r="G190" s="43"/>
      <c r="H190" s="43"/>
      <c r="I190" s="43"/>
    </row>
    <row r="191" spans="1:11" ht="12.75" customHeight="1">
      <c r="A191" s="22"/>
      <c r="B191" s="41"/>
      <c r="C191" s="41"/>
      <c r="D191" s="42"/>
      <c r="E191" s="43"/>
      <c r="F191" s="43"/>
      <c r="G191" s="43"/>
      <c r="H191" s="43"/>
      <c r="I191" s="43"/>
    </row>
    <row r="192" spans="1:11" ht="31" customHeight="1">
      <c r="A192" s="22"/>
      <c r="B192" s="41"/>
      <c r="C192" s="41"/>
      <c r="G192" s="316" t="s">
        <v>705</v>
      </c>
      <c r="H192" s="43"/>
      <c r="I192" s="3" t="s">
        <v>618</v>
      </c>
      <c r="J192" s="43"/>
      <c r="K192" s="43"/>
    </row>
    <row r="193" spans="1:23" ht="12.75" customHeight="1">
      <c r="A193" s="22"/>
      <c r="B193" s="41"/>
      <c r="C193" s="41"/>
      <c r="G193" s="42">
        <f>IF((D14)&lt;1,0,D14-1)</f>
        <v>0</v>
      </c>
      <c r="H193" s="43"/>
      <c r="I193" s="43">
        <f>IF(D58&lt;0.35,0,D58-0.35)</f>
        <v>0</v>
      </c>
      <c r="J193" s="43"/>
      <c r="K193" s="43"/>
    </row>
    <row r="194" spans="1:23" ht="12.75" customHeight="1">
      <c r="A194" s="218" t="s">
        <v>616</v>
      </c>
      <c r="B194" s="41"/>
      <c r="C194" s="41" t="s">
        <v>65</v>
      </c>
      <c r="G194" s="42"/>
      <c r="H194" s="43"/>
      <c r="I194" s="43"/>
      <c r="J194" s="43"/>
      <c r="K194" s="43"/>
    </row>
    <row r="195" spans="1:23" ht="65" customHeight="1">
      <c r="A195" s="22"/>
      <c r="B195" s="41" t="s">
        <v>615</v>
      </c>
      <c r="C195" s="244" t="s">
        <v>613</v>
      </c>
      <c r="D195" s="43" t="s">
        <v>668</v>
      </c>
      <c r="E195" s="1" t="s">
        <v>670</v>
      </c>
      <c r="F195" s="1" t="s">
        <v>671</v>
      </c>
      <c r="G195" s="316" t="s">
        <v>619</v>
      </c>
      <c r="H195" s="3" t="s">
        <v>617</v>
      </c>
      <c r="I195" s="3" t="s">
        <v>678</v>
      </c>
      <c r="J195" s="43" t="s">
        <v>620</v>
      </c>
      <c r="K195" s="43" t="s">
        <v>621</v>
      </c>
    </row>
    <row r="196" spans="1:23" ht="12.75" customHeight="1">
      <c r="A196" s="22"/>
      <c r="B196" s="41" t="s">
        <v>205</v>
      </c>
      <c r="C196" s="244">
        <v>90</v>
      </c>
      <c r="D196" s="43"/>
      <c r="E196">
        <v>1</v>
      </c>
      <c r="F196" t="s">
        <v>672</v>
      </c>
      <c r="G196" s="42">
        <f>4.5+1.7*G193</f>
        <v>4.5</v>
      </c>
      <c r="H196" s="43">
        <f>IF(D16&gt;=130,(0.025+0.02*G193)*(D16-130),0)</f>
        <v>0.5</v>
      </c>
      <c r="I196" s="43">
        <v>0</v>
      </c>
      <c r="J196" s="43">
        <f>I196+H196+G196</f>
        <v>5</v>
      </c>
      <c r="K196" s="43">
        <v>0.4</v>
      </c>
    </row>
    <row r="197" spans="1:23" ht="12.75" customHeight="1">
      <c r="A197" s="22"/>
      <c r="B197" s="41" t="s">
        <v>623</v>
      </c>
      <c r="C197" s="244">
        <v>85</v>
      </c>
      <c r="D197" s="43"/>
      <c r="E197">
        <v>1</v>
      </c>
      <c r="F197" t="s">
        <v>672</v>
      </c>
      <c r="G197" s="42">
        <f>G196</f>
        <v>4.5</v>
      </c>
      <c r="H197" s="43">
        <f>H196</f>
        <v>0.5</v>
      </c>
      <c r="I197" s="43">
        <v>0</v>
      </c>
      <c r="J197" s="43">
        <f>I197+H197+G197</f>
        <v>5</v>
      </c>
      <c r="K197" s="43">
        <v>0.4</v>
      </c>
    </row>
    <row r="198" spans="1:23" ht="12.75" customHeight="1">
      <c r="A198" s="22"/>
      <c r="B198" s="41" t="s">
        <v>622</v>
      </c>
      <c r="C198" s="244">
        <v>85</v>
      </c>
      <c r="D198" s="43">
        <f>IF(I193&gt;0.6,0.6*70,I193*70)</f>
        <v>0</v>
      </c>
      <c r="E198">
        <v>0.95</v>
      </c>
      <c r="F198" t="str">
        <f>IF(D58&gt;0.6,"BBR: Tolkningsfråga om man får ha max 0,6 eller 0,95 l/s/m2","")</f>
        <v/>
      </c>
      <c r="G198" s="42">
        <f>G196</f>
        <v>4.5</v>
      </c>
      <c r="H198" s="43">
        <f>H197</f>
        <v>0.5</v>
      </c>
      <c r="I198" s="43">
        <f>(0.022+0.02*G193)*I193*D16</f>
        <v>0</v>
      </c>
      <c r="J198" s="43">
        <f>I198+H198+G198</f>
        <v>5</v>
      </c>
      <c r="K198" s="43">
        <v>0.4</v>
      </c>
    </row>
    <row r="199" spans="1:23" ht="12.75" customHeight="1">
      <c r="A199" s="22"/>
      <c r="B199" s="41" t="s">
        <v>68</v>
      </c>
      <c r="C199" s="244">
        <v>80</v>
      </c>
      <c r="D199" s="43">
        <f>IF(I193&gt;1,70,I193*70)</f>
        <v>0</v>
      </c>
      <c r="E199">
        <v>1.35</v>
      </c>
      <c r="F199" t="str">
        <f>IF(D58&gt;1,"BBR: Tolkningsfråga om man får ha max  1 eller 1,35 l/s/m2","")</f>
        <v/>
      </c>
      <c r="G199" s="42">
        <f>G196</f>
        <v>4.5</v>
      </c>
      <c r="H199" s="43">
        <f>H198</f>
        <v>0.5</v>
      </c>
      <c r="I199" s="43">
        <f>(0.022+0.02*G193)*I193*D16</f>
        <v>0</v>
      </c>
      <c r="J199" s="43">
        <f>I199+H199+G199</f>
        <v>5</v>
      </c>
      <c r="K199" s="43">
        <v>0.6</v>
      </c>
    </row>
    <row r="200" spans="1:23" ht="12.75" customHeight="1">
      <c r="A200" s="22" t="s">
        <v>69</v>
      </c>
      <c r="B200" t="str">
        <f>D7</f>
        <v>Småhus</v>
      </c>
      <c r="C200" s="43">
        <f>VLOOKUP($B200,Hustyp9_2,2,FALSE)</f>
        <v>90</v>
      </c>
      <c r="D200" s="43">
        <f>VLOOKUP($B200,Hustyp9_2,3,FALSE)</f>
        <v>0</v>
      </c>
      <c r="E200" s="43">
        <f>VLOOKUP($B200,Hustyp9_2,4,FALSE)</f>
        <v>1</v>
      </c>
      <c r="F200" s="43" t="str">
        <f>VLOOKUP($B200,Hustyp9_2,5,FALSE)</f>
        <v>Betydelselös</v>
      </c>
      <c r="G200" s="42">
        <f>VLOOKUP($B200,Hustyp9_2,6,FALSE)</f>
        <v>4.5</v>
      </c>
      <c r="H200" s="43">
        <f>VLOOKUP($B200,Hustyp9_2,7,FALSE)</f>
        <v>0.5</v>
      </c>
      <c r="I200" s="43">
        <f>VLOOKUP($B200,Hustyp9_2,8,FALSE)</f>
        <v>0</v>
      </c>
      <c r="J200" s="139">
        <f>VLOOKUP($B200,Hustyp9_2,9,FALSE)</f>
        <v>5</v>
      </c>
      <c r="K200" s="43">
        <f>VLOOKUP($B200,Hustyp9_2,10,FALSE)</f>
        <v>0.4</v>
      </c>
    </row>
    <row r="201" spans="1:23" ht="21" customHeight="1">
      <c r="A201" s="22"/>
      <c r="B201" s="41" t="s">
        <v>669</v>
      </c>
      <c r="C201" s="244">
        <f>C200+D200</f>
        <v>90</v>
      </c>
      <c r="D201" s="42"/>
      <c r="E201" s="43"/>
      <c r="F201" s="181"/>
      <c r="G201" s="43"/>
      <c r="H201" s="43"/>
      <c r="I201" s="43"/>
    </row>
    <row r="202" spans="1:23" ht="35.25" customHeight="1">
      <c r="B202" s="68"/>
      <c r="C202" s="68"/>
      <c r="D202" s="69"/>
      <c r="E202" s="70"/>
      <c r="F202" s="68"/>
      <c r="G202" s="69"/>
      <c r="H202" s="70"/>
      <c r="I202" s="68"/>
      <c r="J202" s="69"/>
      <c r="K202" s="70"/>
      <c r="L202" s="64"/>
    </row>
    <row r="203" spans="1:23" ht="12" customHeight="1">
      <c r="D203" s="66"/>
      <c r="G203" s="43"/>
      <c r="H203" s="43"/>
      <c r="I203" s="43"/>
      <c r="J203" s="41"/>
      <c r="L203" s="64"/>
    </row>
    <row r="204" spans="1:23" ht="12" customHeight="1">
      <c r="D204" s="66"/>
      <c r="G204" s="43"/>
      <c r="H204" s="43"/>
      <c r="I204" s="43"/>
      <c r="J204" s="41"/>
      <c r="L204" s="64"/>
      <c r="Q204" s="43"/>
      <c r="R204" s="41"/>
    </row>
    <row r="205" spans="1:23" ht="56.5" customHeight="1">
      <c r="C205" s="3" t="s">
        <v>660</v>
      </c>
      <c r="D205" s="43" t="s">
        <v>611</v>
      </c>
      <c r="E205" s="1" t="s">
        <v>602</v>
      </c>
      <c r="F205" s="1" t="s">
        <v>603</v>
      </c>
      <c r="G205" s="3" t="s">
        <v>599</v>
      </c>
      <c r="H205" s="3" t="s">
        <v>600</v>
      </c>
      <c r="I205" s="1">
        <v>-35</v>
      </c>
      <c r="J205" s="1">
        <v>-28</v>
      </c>
      <c r="K205" s="1">
        <v>-25</v>
      </c>
      <c r="L205" s="1">
        <v>-20</v>
      </c>
      <c r="M205" s="1">
        <v>-15</v>
      </c>
      <c r="N205" s="1">
        <v>-6</v>
      </c>
      <c r="Q205" s="3" t="s">
        <v>647</v>
      </c>
      <c r="R205" s="1" t="s">
        <v>648</v>
      </c>
      <c r="S205" s="292" t="s">
        <v>661</v>
      </c>
      <c r="T205" t="s">
        <v>699</v>
      </c>
      <c r="W205" s="1">
        <v>-6</v>
      </c>
    </row>
    <row r="206" spans="1:23" ht="12.75" customHeight="1">
      <c r="B206" s="200" t="s">
        <v>683</v>
      </c>
      <c r="C206">
        <f>IF(D206,1.6,1)</f>
        <v>1.6</v>
      </c>
      <c r="D206" s="43" t="b">
        <f>TRUE</f>
        <v>1</v>
      </c>
      <c r="E206" s="203">
        <v>1</v>
      </c>
      <c r="F206" s="204">
        <v>1</v>
      </c>
      <c r="G206" s="203">
        <v>1</v>
      </c>
      <c r="H206" s="204">
        <v>1</v>
      </c>
      <c r="I206" s="1">
        <v>1</v>
      </c>
      <c r="J206">
        <v>1</v>
      </c>
      <c r="K206">
        <v>1</v>
      </c>
      <c r="L206">
        <v>1</v>
      </c>
      <c r="M206">
        <v>1</v>
      </c>
      <c r="N206">
        <v>1</v>
      </c>
      <c r="P206" s="71" t="s">
        <v>85</v>
      </c>
      <c r="Q206" s="43">
        <f>E206</f>
        <v>1</v>
      </c>
      <c r="R206" s="43">
        <f>F206</f>
        <v>1</v>
      </c>
      <c r="S206">
        <v>1</v>
      </c>
      <c r="T206">
        <v>1</v>
      </c>
      <c r="V206" s="64"/>
      <c r="W206">
        <v>1</v>
      </c>
    </row>
    <row r="207" spans="1:23" ht="12.75" customHeight="1">
      <c r="B207" s="201" t="s">
        <v>684</v>
      </c>
      <c r="C207">
        <f t="shared" ref="C207:C223" si="9">IF(D207,1.6,1)</f>
        <v>1</v>
      </c>
      <c r="D207" s="43" t="b">
        <f>FALSE</f>
        <v>0</v>
      </c>
      <c r="E207" s="205">
        <v>1</v>
      </c>
      <c r="F207" s="206">
        <v>1</v>
      </c>
      <c r="G207" s="205">
        <v>1</v>
      </c>
      <c r="H207" s="206">
        <v>1</v>
      </c>
      <c r="I207" s="1">
        <v>1</v>
      </c>
      <c r="J207">
        <v>1</v>
      </c>
      <c r="K207">
        <v>1</v>
      </c>
      <c r="L207">
        <v>1</v>
      </c>
      <c r="M207">
        <v>1</v>
      </c>
      <c r="N207">
        <v>1</v>
      </c>
      <c r="P207" s="71" t="s">
        <v>85</v>
      </c>
      <c r="Q207" s="43">
        <f t="shared" ref="Q207:R211" si="10">E207</f>
        <v>1</v>
      </c>
      <c r="R207" s="43">
        <f t="shared" si="10"/>
        <v>1</v>
      </c>
      <c r="S207">
        <v>1</v>
      </c>
      <c r="T207">
        <v>0</v>
      </c>
      <c r="V207" s="64"/>
      <c r="W207">
        <v>1</v>
      </c>
    </row>
    <row r="208" spans="1:23" ht="12.75" customHeight="1">
      <c r="B208" s="201" t="s">
        <v>685</v>
      </c>
      <c r="C208">
        <f t="shared" si="9"/>
        <v>1.6</v>
      </c>
      <c r="D208" s="43" t="b">
        <f>TRUE</f>
        <v>1</v>
      </c>
      <c r="E208" s="205">
        <v>1.7</v>
      </c>
      <c r="F208" s="206">
        <v>1.7</v>
      </c>
      <c r="G208" s="205">
        <v>1.7</v>
      </c>
      <c r="H208" s="206">
        <v>1.7</v>
      </c>
      <c r="I208" s="1">
        <v>1.7</v>
      </c>
      <c r="J208" s="1">
        <v>1.7</v>
      </c>
      <c r="K208" s="1">
        <v>1.7</v>
      </c>
      <c r="L208" s="1">
        <v>1.7</v>
      </c>
      <c r="M208" s="1">
        <v>1.7</v>
      </c>
      <c r="N208" s="1">
        <v>1.7</v>
      </c>
      <c r="P208" s="68" t="s">
        <v>691</v>
      </c>
      <c r="Q208" s="43">
        <f t="shared" si="10"/>
        <v>1.7</v>
      </c>
      <c r="R208" s="43">
        <f t="shared" si="10"/>
        <v>1.7</v>
      </c>
      <c r="S208">
        <v>1</v>
      </c>
      <c r="T208">
        <v>0</v>
      </c>
      <c r="V208" s="64"/>
      <c r="W208" s="1">
        <v>1.7</v>
      </c>
    </row>
    <row r="209" spans="2:23" ht="12.75" customHeight="1">
      <c r="B209" s="201" t="s">
        <v>686</v>
      </c>
      <c r="C209">
        <f t="shared" si="9"/>
        <v>1.6</v>
      </c>
      <c r="D209" s="43" t="b">
        <f>TRUE</f>
        <v>1</v>
      </c>
      <c r="E209" s="205">
        <v>2.5</v>
      </c>
      <c r="F209" s="206">
        <v>2.5</v>
      </c>
      <c r="G209" s="205">
        <v>2.5</v>
      </c>
      <c r="H209" s="206">
        <v>2.5</v>
      </c>
      <c r="I209" s="1">
        <v>2.2999999999999998</v>
      </c>
      <c r="J209" s="1">
        <v>2.4</v>
      </c>
      <c r="K209" s="1">
        <v>2.4</v>
      </c>
      <c r="L209" s="1">
        <v>2.4500000000000002</v>
      </c>
      <c r="M209" s="1">
        <v>2.48</v>
      </c>
      <c r="N209" s="1">
        <v>2.5</v>
      </c>
      <c r="P209" s="68" t="s">
        <v>692</v>
      </c>
      <c r="Q209" s="43">
        <f t="shared" si="10"/>
        <v>2.5</v>
      </c>
      <c r="R209" s="43">
        <f t="shared" si="10"/>
        <v>2.5</v>
      </c>
      <c r="S209">
        <v>1</v>
      </c>
      <c r="T209">
        <v>0</v>
      </c>
      <c r="V209" s="64"/>
      <c r="W209" s="1">
        <v>2.5</v>
      </c>
    </row>
    <row r="210" spans="2:23" ht="12.75" customHeight="1">
      <c r="B210" s="201" t="s">
        <v>687</v>
      </c>
      <c r="C210">
        <f t="shared" si="9"/>
        <v>1.6</v>
      </c>
      <c r="D210" s="43" t="b">
        <f>TRUE</f>
        <v>1</v>
      </c>
      <c r="E210" s="205">
        <v>2</v>
      </c>
      <c r="F210" s="206">
        <v>2</v>
      </c>
      <c r="G210" s="205">
        <v>2</v>
      </c>
      <c r="H210" s="206">
        <v>2</v>
      </c>
      <c r="I210" s="1">
        <v>1</v>
      </c>
      <c r="J210" s="1">
        <v>1.1000000000000001</v>
      </c>
      <c r="K210" s="1">
        <v>1.4</v>
      </c>
      <c r="L210" s="1">
        <v>1.6</v>
      </c>
      <c r="M210" s="1">
        <v>1.8</v>
      </c>
      <c r="N210" s="1">
        <v>2</v>
      </c>
      <c r="P210" s="68" t="s">
        <v>690</v>
      </c>
      <c r="Q210" s="43">
        <f t="shared" si="10"/>
        <v>2</v>
      </c>
      <c r="R210" s="43">
        <f t="shared" si="10"/>
        <v>2</v>
      </c>
      <c r="S210">
        <v>1</v>
      </c>
      <c r="T210">
        <v>0</v>
      </c>
      <c r="V210" s="64"/>
      <c r="W210" s="1">
        <v>3.9</v>
      </c>
    </row>
    <row r="211" spans="2:23" ht="12.75" customHeight="1">
      <c r="B211" s="201" t="s">
        <v>688</v>
      </c>
      <c r="C211">
        <f t="shared" si="9"/>
        <v>1</v>
      </c>
      <c r="D211" s="43" t="b">
        <f>FALSE</f>
        <v>0</v>
      </c>
      <c r="E211" s="205">
        <v>0.85</v>
      </c>
      <c r="F211" s="206">
        <v>0.85</v>
      </c>
      <c r="G211" s="205">
        <v>0.85</v>
      </c>
      <c r="H211" s="206">
        <v>0.85</v>
      </c>
      <c r="I211" s="1">
        <v>0.85</v>
      </c>
      <c r="J211" s="1">
        <v>0.85</v>
      </c>
      <c r="K211" s="1">
        <v>0.85</v>
      </c>
      <c r="L211" s="1">
        <v>0.85</v>
      </c>
      <c r="M211" s="1">
        <v>0.85</v>
      </c>
      <c r="N211" s="1">
        <v>0.85</v>
      </c>
      <c r="P211" s="68" t="s">
        <v>693</v>
      </c>
      <c r="Q211" s="43">
        <f t="shared" si="10"/>
        <v>0.85</v>
      </c>
      <c r="R211" s="43">
        <f t="shared" si="10"/>
        <v>0.85</v>
      </c>
      <c r="S211">
        <v>1</v>
      </c>
      <c r="T211">
        <v>0</v>
      </c>
      <c r="V211" s="64"/>
      <c r="W211" s="1">
        <v>0.85</v>
      </c>
    </row>
    <row r="212" spans="2:23" ht="12.75" customHeight="1">
      <c r="B212" s="201" t="s">
        <v>689</v>
      </c>
      <c r="C212">
        <f t="shared" si="9"/>
        <v>1</v>
      </c>
      <c r="D212" s="43" t="b">
        <f>FALSE</f>
        <v>0</v>
      </c>
      <c r="E212" s="205">
        <v>0.75</v>
      </c>
      <c r="F212" s="206">
        <v>0.75</v>
      </c>
      <c r="G212" s="205">
        <v>0.75</v>
      </c>
      <c r="H212" s="206">
        <v>0.75</v>
      </c>
      <c r="I212" s="1">
        <v>0.75</v>
      </c>
      <c r="J212" s="1">
        <v>0.75</v>
      </c>
      <c r="K212" s="1">
        <v>0.75</v>
      </c>
      <c r="L212" s="1">
        <v>0.75</v>
      </c>
      <c r="M212" s="1">
        <v>0.75</v>
      </c>
      <c r="N212" s="1">
        <v>0.75</v>
      </c>
      <c r="P212" s="68" t="s">
        <v>694</v>
      </c>
      <c r="Q212" s="43">
        <f>E212</f>
        <v>0.75</v>
      </c>
      <c r="R212" s="43">
        <f>F212</f>
        <v>0.75</v>
      </c>
      <c r="S212">
        <v>1</v>
      </c>
      <c r="T212">
        <v>0</v>
      </c>
      <c r="V212" s="64"/>
      <c r="W212" s="1">
        <v>0.75</v>
      </c>
    </row>
    <row r="213" spans="2:23" ht="12.75" customHeight="1">
      <c r="B213" s="201" t="s">
        <v>696</v>
      </c>
      <c r="C213">
        <f>IF(D213,1.6,1)</f>
        <v>1</v>
      </c>
      <c r="D213" s="43" t="b">
        <f>FALSE</f>
        <v>0</v>
      </c>
      <c r="E213" s="205">
        <v>0.9</v>
      </c>
      <c r="F213" s="206">
        <v>0.9</v>
      </c>
      <c r="G213" s="205">
        <v>0.9</v>
      </c>
      <c r="H213" s="206">
        <v>0.9</v>
      </c>
      <c r="I213" s="1">
        <v>0.9</v>
      </c>
      <c r="J213" s="1">
        <v>0.9</v>
      </c>
      <c r="K213" s="1">
        <v>0.9</v>
      </c>
      <c r="L213" s="1">
        <v>0.9</v>
      </c>
      <c r="M213" s="1">
        <v>0.9</v>
      </c>
      <c r="N213" s="1">
        <v>0.9</v>
      </c>
      <c r="P213" s="68" t="s">
        <v>697</v>
      </c>
      <c r="Q213" s="43">
        <f>E213</f>
        <v>0.9</v>
      </c>
      <c r="R213" s="43">
        <f>F213</f>
        <v>0.9</v>
      </c>
      <c r="S213">
        <v>1</v>
      </c>
      <c r="T213">
        <v>0</v>
      </c>
      <c r="V213" s="64"/>
      <c r="W213" s="1">
        <v>0.9</v>
      </c>
    </row>
    <row r="214" spans="2:23" ht="12.75" customHeight="1">
      <c r="B214" s="202" t="s">
        <v>70</v>
      </c>
      <c r="C214">
        <f t="shared" si="9"/>
        <v>1.6</v>
      </c>
      <c r="D214" s="43" t="b">
        <f>TRUE</f>
        <v>1</v>
      </c>
      <c r="E214" s="207">
        <v>1</v>
      </c>
      <c r="F214" s="206">
        <v>1</v>
      </c>
      <c r="G214" s="207">
        <v>1</v>
      </c>
      <c r="H214" s="206">
        <v>1</v>
      </c>
      <c r="I214" s="1">
        <v>1</v>
      </c>
      <c r="J214">
        <v>1</v>
      </c>
      <c r="K214">
        <v>1</v>
      </c>
      <c r="L214">
        <v>1</v>
      </c>
      <c r="M214">
        <v>1</v>
      </c>
      <c r="N214">
        <v>1</v>
      </c>
      <c r="P214" s="71" t="s">
        <v>85</v>
      </c>
      <c r="Q214" s="139">
        <f t="shared" ref="Q214:Q223" si="11">$C$228</f>
        <v>2.5</v>
      </c>
      <c r="R214" s="288">
        <f t="shared" ref="R214:R223" si="12">$E$228</f>
        <v>2.5</v>
      </c>
      <c r="S214">
        <v>1</v>
      </c>
      <c r="T214">
        <v>1</v>
      </c>
      <c r="V214" s="64"/>
      <c r="W214">
        <v>1</v>
      </c>
    </row>
    <row r="215" spans="2:23" ht="12.75" customHeight="1">
      <c r="B215" s="202" t="s">
        <v>71</v>
      </c>
      <c r="C215">
        <f t="shared" si="9"/>
        <v>1</v>
      </c>
      <c r="D215" s="43" t="b">
        <f>FALSE</f>
        <v>0</v>
      </c>
      <c r="E215" s="207">
        <v>1</v>
      </c>
      <c r="F215" s="206">
        <v>1</v>
      </c>
      <c r="G215" s="207">
        <v>1</v>
      </c>
      <c r="H215" s="206">
        <v>1</v>
      </c>
      <c r="I215" s="1">
        <v>1</v>
      </c>
      <c r="J215">
        <v>1</v>
      </c>
      <c r="K215">
        <v>1</v>
      </c>
      <c r="L215">
        <v>1</v>
      </c>
      <c r="M215">
        <v>1</v>
      </c>
      <c r="N215">
        <v>1</v>
      </c>
      <c r="P215" s="71" t="s">
        <v>85</v>
      </c>
      <c r="Q215" s="139">
        <f t="shared" si="11"/>
        <v>2.5</v>
      </c>
      <c r="R215" s="288">
        <f t="shared" si="12"/>
        <v>2.5</v>
      </c>
      <c r="S215">
        <v>1</v>
      </c>
      <c r="T215">
        <v>0</v>
      </c>
      <c r="V215" s="64"/>
      <c r="W215">
        <v>1</v>
      </c>
    </row>
    <row r="216" spans="2:23" ht="12.75" customHeight="1">
      <c r="B216" s="201" t="s">
        <v>72</v>
      </c>
      <c r="C216">
        <f t="shared" si="9"/>
        <v>1.6</v>
      </c>
      <c r="D216" s="43" t="b">
        <f>TRUE</f>
        <v>1</v>
      </c>
      <c r="E216" s="205">
        <v>1.56</v>
      </c>
      <c r="F216" s="206">
        <v>1.56</v>
      </c>
      <c r="G216" s="205">
        <v>1.56</v>
      </c>
      <c r="H216" s="206">
        <v>1.56</v>
      </c>
      <c r="I216" s="1">
        <v>1.56</v>
      </c>
      <c r="J216" s="1">
        <v>1.56</v>
      </c>
      <c r="K216" s="1">
        <v>1.56</v>
      </c>
      <c r="L216" s="1">
        <v>1.56</v>
      </c>
      <c r="M216" s="1">
        <v>1.56</v>
      </c>
      <c r="N216" s="1">
        <v>1.56</v>
      </c>
      <c r="P216" s="68" t="s">
        <v>73</v>
      </c>
      <c r="Q216" s="139">
        <f t="shared" si="11"/>
        <v>2.5</v>
      </c>
      <c r="R216" s="288">
        <f t="shared" si="12"/>
        <v>2.5</v>
      </c>
      <c r="S216">
        <v>1</v>
      </c>
      <c r="T216">
        <v>0</v>
      </c>
      <c r="V216" s="64"/>
      <c r="W216" s="1">
        <v>1.56</v>
      </c>
    </row>
    <row r="217" spans="2:23" ht="12" customHeight="1">
      <c r="B217" s="201" t="s">
        <v>74</v>
      </c>
      <c r="C217">
        <f t="shared" si="9"/>
        <v>1.6</v>
      </c>
      <c r="D217" s="43" t="b">
        <f>TRUE</f>
        <v>1</v>
      </c>
      <c r="E217" s="205">
        <v>2.5</v>
      </c>
      <c r="F217" s="206">
        <v>2.5</v>
      </c>
      <c r="G217" s="205">
        <v>2.5</v>
      </c>
      <c r="H217" s="206">
        <v>2.5</v>
      </c>
      <c r="I217" s="1">
        <v>2.5</v>
      </c>
      <c r="J217" s="1">
        <v>2.5</v>
      </c>
      <c r="K217" s="1">
        <v>2.5</v>
      </c>
      <c r="L217" s="1">
        <v>2.5</v>
      </c>
      <c r="M217" s="1">
        <v>2.5</v>
      </c>
      <c r="N217" s="1">
        <v>2.5</v>
      </c>
      <c r="P217" s="68" t="s">
        <v>75</v>
      </c>
      <c r="Q217" s="139">
        <f t="shared" si="11"/>
        <v>2.5</v>
      </c>
      <c r="R217" s="288">
        <f t="shared" si="12"/>
        <v>2.5</v>
      </c>
      <c r="S217">
        <v>1</v>
      </c>
      <c r="T217">
        <v>0</v>
      </c>
      <c r="V217" s="64"/>
      <c r="W217" s="1">
        <v>2.5</v>
      </c>
    </row>
    <row r="218" spans="2:23" ht="12.75" customHeight="1">
      <c r="B218" s="201" t="s">
        <v>76</v>
      </c>
      <c r="C218">
        <f t="shared" si="9"/>
        <v>1.6</v>
      </c>
      <c r="D218" s="43" t="b">
        <f>TRUE</f>
        <v>1</v>
      </c>
      <c r="E218" s="205">
        <v>2.9</v>
      </c>
      <c r="F218" s="206">
        <v>3.6</v>
      </c>
      <c r="G218" s="205">
        <v>2.9</v>
      </c>
      <c r="H218" s="206">
        <v>3.6</v>
      </c>
      <c r="I218" s="1">
        <v>2.7</v>
      </c>
      <c r="J218" s="1">
        <v>2.8</v>
      </c>
      <c r="K218" s="1">
        <v>3</v>
      </c>
      <c r="L218" s="1">
        <v>3.4</v>
      </c>
      <c r="M218" s="1">
        <v>3.45</v>
      </c>
      <c r="N218" s="1">
        <v>3.5</v>
      </c>
      <c r="P218" s="68" t="s">
        <v>77</v>
      </c>
      <c r="Q218" s="139">
        <f t="shared" si="11"/>
        <v>2.5</v>
      </c>
      <c r="R218" s="288">
        <f t="shared" si="12"/>
        <v>2.5</v>
      </c>
      <c r="S218">
        <v>1</v>
      </c>
      <c r="T218">
        <v>0</v>
      </c>
      <c r="V218" s="64"/>
      <c r="W218" s="1">
        <v>4</v>
      </c>
    </row>
    <row r="219" spans="2:23" ht="12.75" customHeight="1">
      <c r="B219" s="201" t="s">
        <v>78</v>
      </c>
      <c r="C219">
        <f t="shared" si="9"/>
        <v>1.6</v>
      </c>
      <c r="D219" s="43" t="b">
        <f>TRUE</f>
        <v>1</v>
      </c>
      <c r="E219" s="205">
        <v>1.7</v>
      </c>
      <c r="F219" s="206">
        <v>3.2</v>
      </c>
      <c r="G219" s="205">
        <f>1+0.7*1</f>
        <v>1.7</v>
      </c>
      <c r="H219" s="206">
        <v>3.2</v>
      </c>
      <c r="I219" s="1">
        <v>1</v>
      </c>
      <c r="J219" s="1">
        <v>1.1000000000000001</v>
      </c>
      <c r="K219" s="1">
        <v>1.4</v>
      </c>
      <c r="L219" s="1">
        <v>1.6</v>
      </c>
      <c r="M219" s="1">
        <v>2.1</v>
      </c>
      <c r="N219" s="1">
        <v>3.5</v>
      </c>
      <c r="P219" s="68" t="s">
        <v>79</v>
      </c>
      <c r="Q219" s="139">
        <f t="shared" si="11"/>
        <v>2.5</v>
      </c>
      <c r="R219" s="288">
        <f t="shared" si="12"/>
        <v>2.5</v>
      </c>
      <c r="S219">
        <v>1</v>
      </c>
      <c r="T219">
        <v>0</v>
      </c>
      <c r="V219" s="64"/>
      <c r="W219" s="1">
        <v>3.9</v>
      </c>
    </row>
    <row r="220" spans="2:23" ht="12.75" customHeight="1">
      <c r="B220" s="201" t="s">
        <v>80</v>
      </c>
      <c r="C220">
        <f t="shared" si="9"/>
        <v>1.6</v>
      </c>
      <c r="D220" s="43" t="b">
        <f>TRUE</f>
        <v>1</v>
      </c>
      <c r="E220" s="205">
        <v>2</v>
      </c>
      <c r="F220" s="206">
        <v>3.2</v>
      </c>
      <c r="G220" s="205">
        <v>1</v>
      </c>
      <c r="H220" s="206">
        <v>1</v>
      </c>
      <c r="I220" s="1">
        <v>1</v>
      </c>
      <c r="J220" s="1">
        <v>1.1000000000000001</v>
      </c>
      <c r="K220" s="1">
        <v>1.4</v>
      </c>
      <c r="L220" s="1">
        <v>1.6</v>
      </c>
      <c r="M220" s="1">
        <v>2.1</v>
      </c>
      <c r="N220" s="1">
        <v>3.5</v>
      </c>
      <c r="P220" s="68" t="s">
        <v>81</v>
      </c>
      <c r="Q220" s="139">
        <f t="shared" si="11"/>
        <v>2.5</v>
      </c>
      <c r="R220" s="288">
        <f t="shared" si="12"/>
        <v>2.5</v>
      </c>
      <c r="S220">
        <v>1</v>
      </c>
      <c r="T220">
        <v>1</v>
      </c>
      <c r="V220" s="64"/>
      <c r="W220" s="1">
        <v>3.9</v>
      </c>
    </row>
    <row r="221" spans="2:23" ht="12.75" customHeight="1">
      <c r="B221" s="201" t="s">
        <v>82</v>
      </c>
      <c r="C221">
        <f t="shared" si="9"/>
        <v>1</v>
      </c>
      <c r="D221" s="43" t="b">
        <f>FALSE</f>
        <v>0</v>
      </c>
      <c r="E221" s="205">
        <v>0.87</v>
      </c>
      <c r="F221" s="206">
        <v>0.87</v>
      </c>
      <c r="G221" s="205">
        <v>0.87</v>
      </c>
      <c r="H221" s="206">
        <v>0.87</v>
      </c>
      <c r="I221" s="1">
        <v>0.87</v>
      </c>
      <c r="J221" s="1">
        <v>0.87</v>
      </c>
      <c r="K221" s="1">
        <v>0.87</v>
      </c>
      <c r="L221" s="1">
        <v>0.87</v>
      </c>
      <c r="M221" s="1">
        <v>0.87</v>
      </c>
      <c r="N221" s="1">
        <v>0.87</v>
      </c>
      <c r="P221" s="68" t="s">
        <v>83</v>
      </c>
      <c r="Q221" s="139">
        <f t="shared" si="11"/>
        <v>2.5</v>
      </c>
      <c r="R221" s="288">
        <f t="shared" si="12"/>
        <v>2.5</v>
      </c>
      <c r="S221">
        <v>1</v>
      </c>
      <c r="T221">
        <v>0</v>
      </c>
      <c r="V221" s="64"/>
      <c r="W221" s="1">
        <v>0.87</v>
      </c>
    </row>
    <row r="222" spans="2:23" ht="12.75" customHeight="1">
      <c r="B222" s="201" t="s">
        <v>662</v>
      </c>
      <c r="C222">
        <v>1</v>
      </c>
      <c r="D222" s="43" t="b">
        <v>0</v>
      </c>
      <c r="E222" s="205">
        <v>0.9</v>
      </c>
      <c r="F222" s="206">
        <v>0.9</v>
      </c>
      <c r="G222" s="205">
        <v>0.9</v>
      </c>
      <c r="H222" s="206">
        <v>0.9</v>
      </c>
      <c r="I222" s="1">
        <v>0.9</v>
      </c>
      <c r="J222" s="1">
        <v>0.9</v>
      </c>
      <c r="K222" s="1">
        <v>0.9</v>
      </c>
      <c r="L222" s="1">
        <v>0.9</v>
      </c>
      <c r="M222" s="1">
        <v>0.9</v>
      </c>
      <c r="N222" s="1">
        <v>0.9</v>
      </c>
      <c r="P222" s="68" t="s">
        <v>695</v>
      </c>
      <c r="Q222" s="139">
        <f t="shared" si="11"/>
        <v>2.5</v>
      </c>
      <c r="R222" s="288">
        <f t="shared" si="12"/>
        <v>2.5</v>
      </c>
      <c r="S222">
        <v>1</v>
      </c>
      <c r="T222">
        <v>0</v>
      </c>
      <c r="V222" s="64"/>
      <c r="W222" s="1"/>
    </row>
    <row r="223" spans="2:23" ht="12.75" customHeight="1">
      <c r="B223" s="202" t="s">
        <v>84</v>
      </c>
      <c r="C223">
        <f t="shared" si="9"/>
        <v>1.6</v>
      </c>
      <c r="D223" s="43" t="b">
        <f>TRUE</f>
        <v>1</v>
      </c>
      <c r="E223" s="207">
        <v>1</v>
      </c>
      <c r="F223" s="206">
        <v>1</v>
      </c>
      <c r="G223" s="207">
        <v>1</v>
      </c>
      <c r="H223" s="206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P223" s="71" t="s">
        <v>85</v>
      </c>
      <c r="Q223" s="139">
        <f t="shared" si="11"/>
        <v>2.5</v>
      </c>
      <c r="R223" s="288">
        <f t="shared" si="12"/>
        <v>2.5</v>
      </c>
      <c r="S223">
        <v>1</v>
      </c>
      <c r="T223">
        <v>0</v>
      </c>
      <c r="V223" s="64"/>
      <c r="W223" s="1">
        <v>1</v>
      </c>
    </row>
    <row r="224" spans="2:23" ht="12.75" customHeight="1">
      <c r="F224" s="66"/>
      <c r="G224" s="43"/>
      <c r="H224" s="43"/>
      <c r="I224" s="1"/>
      <c r="M224" s="43"/>
      <c r="Q224" s="139"/>
      <c r="R224" s="289"/>
      <c r="U224" s="43"/>
      <c r="V224" s="64"/>
      <c r="W224" s="43"/>
    </row>
    <row r="225" spans="1:23" ht="12.75" customHeight="1">
      <c r="A225" t="s">
        <v>601</v>
      </c>
      <c r="B225" t="str">
        <f>D23</f>
        <v>BEN / Jord/berg/sjö värmepump</v>
      </c>
      <c r="C225">
        <f>VLOOKUP($B225,Värmesystem,2,FALSE)</f>
        <v>1.6</v>
      </c>
      <c r="D225" t="b">
        <f>VLOOKUP($B225,Värmesystem,3,FALSE)</f>
        <v>1</v>
      </c>
      <c r="E225">
        <f>VLOOKUP($B225,Värmesystem,4,FALSE)</f>
        <v>2.5</v>
      </c>
      <c r="F225" s="66">
        <f>VLOOKUP($B225,Värmesystem,5,FALSE)</f>
        <v>2.5</v>
      </c>
      <c r="G225" s="43">
        <f>VLOOKUP($B225,Värmesystem,6,FALSE)</f>
        <v>2.5</v>
      </c>
      <c r="H225" s="43">
        <f>VLOOKUP($B225,Värmesystem,7,FALSE)</f>
        <v>2.5</v>
      </c>
      <c r="I225" s="43">
        <f>VLOOKUP($B225,Värmesystem,8,FALSE)</f>
        <v>2.2999999999999998</v>
      </c>
      <c r="J225" s="43">
        <f>VLOOKUP($B225,Värmesystem,9,FALSE)</f>
        <v>2.4</v>
      </c>
      <c r="K225" s="43">
        <f>VLOOKUP($B225,Värmesystem,10,FALSE)</f>
        <v>2.4</v>
      </c>
      <c r="L225" s="43">
        <f>VLOOKUP($B225,Värmesystem,11,FALSE)</f>
        <v>2.4500000000000002</v>
      </c>
      <c r="M225" s="43">
        <f>VLOOKUP($B225,Värmesystem,12,FALSE)</f>
        <v>2.48</v>
      </c>
      <c r="N225" s="43">
        <f>VLOOKUP($B225,Värmesystem,13,FALSE)</f>
        <v>2.5</v>
      </c>
      <c r="O225" s="43">
        <f>VLOOKUP($B225,Värmesystem,14,FALSE)</f>
        <v>0</v>
      </c>
      <c r="P225" s="43" t="str">
        <f>VLOOKUP($B225,Värmesystem,15,FALSE)</f>
        <v>Jord/Berg -värmepump besparing @BEN</v>
      </c>
      <c r="Q225" s="139">
        <f>VLOOKUP($B225,Värmesystem,16,FALSE)</f>
        <v>2.5</v>
      </c>
      <c r="R225" s="289">
        <f>VLOOKUP($B225,Värmesystem,17,FALSE)</f>
        <v>2.5</v>
      </c>
      <c r="S225" s="43">
        <f>VLOOKUP($B225,Värmesystem,18,FALSE)</f>
        <v>1</v>
      </c>
      <c r="T225">
        <f>VLOOKUP($B225,Värmesystem,19,FALSE)</f>
        <v>0</v>
      </c>
      <c r="U225">
        <f>VLOOKUP($B225,Värmesystem,19,FALSE)</f>
        <v>0</v>
      </c>
      <c r="V225" s="64"/>
    </row>
    <row r="226" spans="1:23" ht="12.75" customHeight="1">
      <c r="D226" s="66"/>
      <c r="E226" s="43"/>
      <c r="F226" s="43"/>
      <c r="H226" s="43"/>
      <c r="I226" s="43"/>
      <c r="J226" s="1"/>
      <c r="Q226" s="244" t="s">
        <v>663</v>
      </c>
      <c r="R226" t="s">
        <v>663</v>
      </c>
      <c r="W226" s="43"/>
    </row>
    <row r="227" spans="1:23" ht="47" customHeight="1">
      <c r="C227" s="1" t="s">
        <v>649</v>
      </c>
      <c r="E227" s="1" t="s">
        <v>650</v>
      </c>
      <c r="Q227" s="43"/>
      <c r="R227"/>
    </row>
    <row r="228" spans="1:23" ht="17" customHeight="1">
      <c r="B228" t="s">
        <v>605</v>
      </c>
      <c r="C228" s="287">
        <f>-(F225-E225)*(-$I205+$G229)/($I205-$N205)+E225</f>
        <v>2.5</v>
      </c>
      <c r="D228" s="287"/>
      <c r="E228" s="287">
        <f>-(H225-G225)*(-$I205+$G229)/($I205-$N205)+G225</f>
        <v>2.5</v>
      </c>
      <c r="G228" s="43" t="s">
        <v>604</v>
      </c>
      <c r="H228" t="s">
        <v>624</v>
      </c>
      <c r="I228" t="b">
        <v>0</v>
      </c>
      <c r="J228" t="b">
        <f>IF(I228,FALSE,IF(($G229-J205&lt;0),TRUE,FALSE))</f>
        <v>0</v>
      </c>
      <c r="K228" t="b">
        <f>IF(J228,FALSE,IF(($G229-K205&lt;0),TRUE,FALSE))</f>
        <v>0</v>
      </c>
      <c r="L228" t="b">
        <f>IF((K228+J228),FALSE,IF(($G229-L205&lt;0),TRUE,FALSE))</f>
        <v>0</v>
      </c>
      <c r="M228" t="b">
        <f>IF(L228+K228+J228,FALSE,IF(($G229-M205&lt;0),TRUE,FALSE))</f>
        <v>1</v>
      </c>
      <c r="N228" t="b">
        <f>IF(M228+L228+K228+J228,FALSE,IF(($G229-W205&lt;0),TRUE,FALSE))</f>
        <v>0</v>
      </c>
      <c r="R228"/>
    </row>
    <row r="229" spans="1:23" ht="26" customHeight="1">
      <c r="B229" s="65"/>
      <c r="C229" s="41"/>
      <c r="D229" s="42"/>
      <c r="E229" s="43"/>
      <c r="F229" s="43"/>
      <c r="G229" s="43">
        <f>D10</f>
        <v>-15.5</v>
      </c>
      <c r="H229" s="1" t="s">
        <v>625</v>
      </c>
      <c r="I229" s="1">
        <f t="shared" ref="I229:N229" si="13">IF(I228,I225,0)</f>
        <v>0</v>
      </c>
      <c r="J229" s="1">
        <f t="shared" si="13"/>
        <v>0</v>
      </c>
      <c r="K229" s="1">
        <f t="shared" si="13"/>
        <v>0</v>
      </c>
      <c r="L229" s="1">
        <f t="shared" si="13"/>
        <v>0</v>
      </c>
      <c r="M229" s="1">
        <f t="shared" si="13"/>
        <v>2.48</v>
      </c>
      <c r="N229" s="1">
        <f t="shared" si="13"/>
        <v>0</v>
      </c>
      <c r="R229" s="219">
        <f>SUM(I229:N229)</f>
        <v>2.48</v>
      </c>
    </row>
    <row r="230" spans="1:23" ht="25.5" customHeight="1">
      <c r="B230" s="62"/>
      <c r="C230" s="41"/>
      <c r="D230" s="138"/>
      <c r="F230" s="43"/>
      <c r="G230" s="43"/>
      <c r="H230" s="3" t="s">
        <v>626</v>
      </c>
      <c r="I230" s="1">
        <f>IF(J228,I225,0)</f>
        <v>0</v>
      </c>
      <c r="J230" s="1">
        <f>IF(K228,J225,0)</f>
        <v>0</v>
      </c>
      <c r="K230" s="1">
        <f>IF(L228,K225,0)</f>
        <v>0</v>
      </c>
      <c r="L230" s="1">
        <f>IF(M228,L225,0)</f>
        <v>2.4500000000000002</v>
      </c>
      <c r="M230" s="1">
        <f>IF(N228,M225,0)</f>
        <v>0</v>
      </c>
      <c r="N230" s="1">
        <f>IF(Q228,N225,0)</f>
        <v>0</v>
      </c>
      <c r="R230" s="219">
        <f>SUM(I230:N230)</f>
        <v>2.4500000000000002</v>
      </c>
    </row>
    <row r="231" spans="1:23" ht="12.75" customHeight="1">
      <c r="D231" s="43"/>
      <c r="G231" s="43"/>
      <c r="H231" s="43" t="s">
        <v>628</v>
      </c>
      <c r="I231" s="1">
        <f>IF(I228,I205,0)</f>
        <v>0</v>
      </c>
      <c r="J231" s="1">
        <f>IF(J228,J205,0)</f>
        <v>0</v>
      </c>
      <c r="K231" s="1">
        <f>IF(K228,K205,0)</f>
        <v>0</v>
      </c>
      <c r="L231" s="1">
        <f>IF(L228,L205,0)</f>
        <v>0</v>
      </c>
      <c r="M231" s="1">
        <f>IF(M228,M205,0)</f>
        <v>-15</v>
      </c>
      <c r="N231" s="1">
        <f>IF(N228,W205,0)</f>
        <v>0</v>
      </c>
      <c r="R231" s="219">
        <f>SUM(I231:N231)</f>
        <v>-15</v>
      </c>
    </row>
    <row r="232" spans="1:23" ht="12.75" customHeight="1">
      <c r="B232" s="33" t="s">
        <v>86</v>
      </c>
      <c r="C232" s="43" t="s">
        <v>136</v>
      </c>
      <c r="D232" s="43" t="s">
        <v>69</v>
      </c>
      <c r="E232" s="64"/>
      <c r="F232" s="64"/>
      <c r="H232" t="s">
        <v>627</v>
      </c>
      <c r="I232">
        <f>IF(I228,H205-I205,0)</f>
        <v>0</v>
      </c>
      <c r="J232">
        <f>IF(J228,I205-J205,0)</f>
        <v>0</v>
      </c>
      <c r="K232">
        <f>IF(K228,J205-K205,0)</f>
        <v>0</v>
      </c>
      <c r="L232">
        <f>IF(L228,K205-L205,0)</f>
        <v>0</v>
      </c>
      <c r="M232">
        <f>IF(M228,L205-M205,0)</f>
        <v>-5</v>
      </c>
      <c r="N232">
        <f>IF(N228,M205-W205,0)</f>
        <v>0</v>
      </c>
      <c r="R232" s="219">
        <f>SUM(I232:N232)</f>
        <v>-5</v>
      </c>
    </row>
    <row r="233" spans="1:23" ht="13.5" customHeight="1">
      <c r="B233" t="s">
        <v>87</v>
      </c>
      <c r="C233" s="22">
        <f>IF(D44="FTX",2,IF(D44="Frånluft",0.6,IF(D44="Självdrag",0,0.6)))</f>
        <v>2</v>
      </c>
      <c r="D233" s="43">
        <f>D45</f>
        <v>2</v>
      </c>
      <c r="G233" s="64"/>
      <c r="H233" t="s">
        <v>630</v>
      </c>
      <c r="I233">
        <f t="shared" ref="I233:N233" si="14">IF(I228,I225-H225,0)</f>
        <v>0</v>
      </c>
      <c r="J233">
        <f t="shared" si="14"/>
        <v>0</v>
      </c>
      <c r="K233">
        <f t="shared" si="14"/>
        <v>0</v>
      </c>
      <c r="L233">
        <f t="shared" si="14"/>
        <v>0</v>
      </c>
      <c r="M233">
        <f t="shared" si="14"/>
        <v>2.9999999999999805E-2</v>
      </c>
      <c r="N233">
        <f t="shared" si="14"/>
        <v>0</v>
      </c>
      <c r="R233" s="219">
        <f>SUM(I233:N233)</f>
        <v>2.9999999999999805E-2</v>
      </c>
    </row>
    <row r="234" spans="1:23" ht="13.5" customHeight="1">
      <c r="C234" s="22"/>
      <c r="D234" s="43"/>
      <c r="H234" s="64" t="s">
        <v>629</v>
      </c>
      <c r="I234" s="1"/>
      <c r="J234" s="64"/>
      <c r="R234" s="219">
        <f>-((G229-R231)/R232)*R233+R229</f>
        <v>2.4769999999999999</v>
      </c>
    </row>
    <row r="235" spans="1:23" ht="12.75" customHeight="1">
      <c r="B235" t="s">
        <v>88</v>
      </c>
      <c r="C235" s="22">
        <f>D58*C233</f>
        <v>0.7</v>
      </c>
      <c r="D235" s="22">
        <f>D58*D233</f>
        <v>0.7</v>
      </c>
      <c r="I235" s="1"/>
    </row>
    <row r="236" spans="1:23" ht="12.75" customHeight="1">
      <c r="B236" t="s">
        <v>89</v>
      </c>
      <c r="C236" s="43">
        <v>0.15</v>
      </c>
      <c r="D236" s="43">
        <f>D47</f>
        <v>0.15</v>
      </c>
      <c r="I236" s="1"/>
    </row>
    <row r="237" spans="1:23" ht="12.75" customHeight="1">
      <c r="B237" t="s">
        <v>90</v>
      </c>
      <c r="C237" s="43">
        <f>(C236+C235)*D16</f>
        <v>127.5</v>
      </c>
      <c r="D237" s="43">
        <f>(D236+D235)*D16</f>
        <v>127.5</v>
      </c>
      <c r="I237" s="1"/>
    </row>
    <row r="238" spans="1:23" ht="12.75" customHeight="1">
      <c r="B238" t="s">
        <v>56</v>
      </c>
      <c r="C238" s="43">
        <f>24*365*C237/1000</f>
        <v>1116.9000000000001</v>
      </c>
      <c r="D238" s="43">
        <f>24*365*D237/1000</f>
        <v>1116.9000000000001</v>
      </c>
      <c r="I238" s="1"/>
    </row>
    <row r="239" spans="1:23" ht="12.75" customHeight="1">
      <c r="B239" t="s">
        <v>91</v>
      </c>
      <c r="C239" s="43">
        <v>0</v>
      </c>
      <c r="D239" s="139">
        <v>0</v>
      </c>
      <c r="E239" t="s">
        <v>610</v>
      </c>
      <c r="I239" s="1"/>
    </row>
    <row r="240" spans="1:23" ht="12.75" customHeight="1">
      <c r="B240" t="s">
        <v>92</v>
      </c>
      <c r="D240" s="137">
        <f>D239+D238</f>
        <v>1116.9000000000001</v>
      </c>
      <c r="Q240" t="s">
        <v>93</v>
      </c>
    </row>
    <row r="241" spans="2:18" ht="12.75" customHeight="1">
      <c r="C241" s="43"/>
      <c r="Q241" s="68">
        <f>TRUNC(D12/24,0)+1</f>
        <v>1</v>
      </c>
    </row>
    <row r="242" spans="2:18" ht="12.75" customHeight="1">
      <c r="B242" s="74" t="s">
        <v>702</v>
      </c>
      <c r="C242" s="75" t="s">
        <v>94</v>
      </c>
      <c r="D242" s="75" t="s">
        <v>95</v>
      </c>
      <c r="E242" s="75" t="s">
        <v>96</v>
      </c>
      <c r="F242" s="75" t="s">
        <v>97</v>
      </c>
      <c r="G242" s="75" t="s">
        <v>98</v>
      </c>
      <c r="H242" s="75" t="s">
        <v>99</v>
      </c>
      <c r="I242" s="75" t="s">
        <v>100</v>
      </c>
      <c r="J242" s="75" t="s">
        <v>101</v>
      </c>
      <c r="K242" s="75" t="s">
        <v>594</v>
      </c>
      <c r="L242" s="75" t="s">
        <v>595</v>
      </c>
      <c r="M242" s="75" t="s">
        <v>596</v>
      </c>
      <c r="N242" s="75" t="s">
        <v>597</v>
      </c>
      <c r="O242" s="196" t="s">
        <v>240</v>
      </c>
      <c r="Q242" s="77">
        <f>CHOOSE((Q$241),C243,D243,E243,F243,G243,H243,I275,J243)</f>
        <v>-15.5</v>
      </c>
      <c r="R242" s="244">
        <f>IF(B243=$D$9,Q242,)</f>
        <v>-15.5</v>
      </c>
    </row>
    <row r="243" spans="2:18" ht="12.75" customHeight="1">
      <c r="B243" t="str">
        <f>Data!B42</f>
        <v>Stockholm</v>
      </c>
      <c r="C243" s="75">
        <f>Data!F42</f>
        <v>-15.5</v>
      </c>
      <c r="D243" s="75">
        <f>Data!G42</f>
        <v>-14.9</v>
      </c>
      <c r="E243" s="75">
        <f>Data!H42</f>
        <v>-14.4</v>
      </c>
      <c r="F243" s="75">
        <f>Data!I42</f>
        <v>-13.7</v>
      </c>
      <c r="G243" s="75">
        <f>Data!J42</f>
        <v>-13.1</v>
      </c>
      <c r="H243" s="75">
        <f>Data!K42</f>
        <v>-12.8</v>
      </c>
      <c r="I243" s="75">
        <f>Data!L42</f>
        <v>-12.7</v>
      </c>
      <c r="J243" s="75">
        <f>Data!M42</f>
        <v>-12.4</v>
      </c>
      <c r="K243" s="75">
        <f>Data!N42</f>
        <v>-11.9</v>
      </c>
      <c r="L243" s="75">
        <f>Data!O42</f>
        <v>-11.9</v>
      </c>
      <c r="M243" s="75">
        <f>Data!P42</f>
        <v>-11.6</v>
      </c>
      <c r="N243" s="75">
        <f>Data!Q42</f>
        <v>-11.4</v>
      </c>
      <c r="R243" s="247"/>
    </row>
    <row r="244" spans="2:18" ht="12.75" customHeight="1">
      <c r="B244" t="s">
        <v>703</v>
      </c>
      <c r="C244" t="str">
        <f>Data!C31</f>
        <v>Stockholm</v>
      </c>
    </row>
    <row r="245" spans="2:18" ht="12.75" customHeight="1">
      <c r="B245" t="s">
        <v>240</v>
      </c>
      <c r="C245" s="75">
        <f>Data!C32</f>
        <v>1</v>
      </c>
    </row>
    <row r="246" spans="2:18" ht="12.75" customHeight="1">
      <c r="B246" s="76"/>
    </row>
    <row r="247" spans="2:18" ht="12.75" customHeight="1">
      <c r="D247" s="43"/>
    </row>
    <row r="249" spans="2:18" ht="12.75" customHeight="1">
      <c r="D249" s="43"/>
      <c r="F249" s="78"/>
      <c r="G249" s="79"/>
      <c r="H249" s="36"/>
    </row>
    <row r="250" spans="2:18" ht="12.75" customHeight="1">
      <c r="D250" s="43"/>
      <c r="F250" s="78"/>
      <c r="G250" s="79"/>
      <c r="H250" s="36"/>
    </row>
    <row r="251" spans="2:18" ht="12.75" customHeight="1">
      <c r="D251" s="139"/>
    </row>
    <row r="252" spans="2:18" ht="12.75" customHeight="1">
      <c r="D252" s="43"/>
      <c r="F252" s="78"/>
      <c r="G252" s="36"/>
      <c r="H252" s="36"/>
    </row>
    <row r="254" spans="2:18" ht="24" customHeight="1">
      <c r="B254" s="1"/>
    </row>
    <row r="261" spans="9:9" ht="12.75" customHeight="1">
      <c r="I261" s="43"/>
    </row>
    <row r="262" spans="9:9" ht="12.75" customHeight="1">
      <c r="I262" s="43"/>
    </row>
    <row r="264" spans="9:9" ht="12.75" customHeight="1">
      <c r="I264" s="64"/>
    </row>
  </sheetData>
  <sheetProtection selectLockedCells="1" selectUnlockedCells="1"/>
  <mergeCells count="59">
    <mergeCell ref="P122:R122"/>
    <mergeCell ref="P134:R134"/>
    <mergeCell ref="P129:R129"/>
    <mergeCell ref="P143:T143"/>
    <mergeCell ref="P145:T145"/>
    <mergeCell ref="P146:T146"/>
    <mergeCell ref="P115:R115"/>
    <mergeCell ref="P124:R124"/>
    <mergeCell ref="P125:R125"/>
    <mergeCell ref="P126:R126"/>
    <mergeCell ref="P131:R131"/>
    <mergeCell ref="P133:R133"/>
    <mergeCell ref="P136:R136"/>
    <mergeCell ref="P137:R137"/>
    <mergeCell ref="P138:R138"/>
    <mergeCell ref="P116:R116"/>
    <mergeCell ref="P117:R117"/>
    <mergeCell ref="P132:R132"/>
    <mergeCell ref="Q102:T102"/>
    <mergeCell ref="P144:T144"/>
    <mergeCell ref="P110:R110"/>
    <mergeCell ref="P111:R111"/>
    <mergeCell ref="P112:R112"/>
    <mergeCell ref="P113:R113"/>
    <mergeCell ref="P114:R114"/>
    <mergeCell ref="P139:R139"/>
    <mergeCell ref="P140:R140"/>
    <mergeCell ref="P120:R120"/>
    <mergeCell ref="P130:R130"/>
    <mergeCell ref="P141:R141"/>
    <mergeCell ref="P118:R118"/>
    <mergeCell ref="P121:R121"/>
    <mergeCell ref="P123:R123"/>
    <mergeCell ref="P128:R128"/>
    <mergeCell ref="P108:R108"/>
    <mergeCell ref="P96:R96"/>
    <mergeCell ref="P99:R99"/>
    <mergeCell ref="P100:R100"/>
    <mergeCell ref="S85:U85"/>
    <mergeCell ref="T86:U86"/>
    <mergeCell ref="T87:U87"/>
    <mergeCell ref="P107:R107"/>
    <mergeCell ref="P103:R103"/>
    <mergeCell ref="P105:R105"/>
    <mergeCell ref="P106:R106"/>
    <mergeCell ref="P104:R104"/>
    <mergeCell ref="P94:R94"/>
    <mergeCell ref="P95:R95"/>
    <mergeCell ref="P91:R91"/>
    <mergeCell ref="P92:R92"/>
    <mergeCell ref="C3:D3"/>
    <mergeCell ref="C4:D4"/>
    <mergeCell ref="B71:D71"/>
    <mergeCell ref="B72:D72"/>
    <mergeCell ref="P101:R101"/>
    <mergeCell ref="O77:U77"/>
    <mergeCell ref="P93:R93"/>
    <mergeCell ref="B74:D74"/>
    <mergeCell ref="O80:U80"/>
  </mergeCells>
  <phoneticPr fontId="15" type="noConversion"/>
  <dataValidations xWindow="1019" yWindow="330" count="54">
    <dataValidation type="list" operator="equal" allowBlank="1" showInputMessage="1" showErrorMessage="1" promptTitle="Kommun" prompt="Kommunen bestämmer geografisk faktor för beräkning primärenergital samt DVUT._x000d_DVUT påverkar desutom prestandaval för värmepumpar." sqref="D6">
      <formula1>INDIRECT(D5)</formula1>
    </dataValidation>
    <dataValidation type="whole" allowBlank="1" showInputMessage="1" showErrorMessage="1" promptTitle="VV. återvinning" prompt="Här kan du ange &quot;gratis&quot; energi som används och kan nyttjas för byggnadens uppvärmning och varmvatten. Observera att solenergi som matas ut på allmänna elnätet inte ska medräknas." sqref="D22">
      <formula1>0</formula1>
      <formula2>D20</formula2>
    </dataValidation>
    <dataValidation type="decimal" allowBlank="1" showInputMessage="1" showErrorMessage="1" sqref="D59">
      <formula1>0</formula1>
      <formula2>E200</formula2>
    </dataValidation>
    <dataValidation operator="equal" allowBlank="1" showErrorMessage="1" sqref="B3:B9 C11 B10:C10 C9 B12:C15">
      <formula1>0</formula1>
      <formula2>0</formula2>
    </dataValidation>
    <dataValidation type="decimal" allowBlank="1" showErrorMessage="1" sqref="D67 D17:D19">
      <formula1>0</formula1>
      <formula2>100000000</formula2>
    </dataValidation>
    <dataValidation type="list" operator="equal" allowBlank="1" showInputMessage="1" showErrorMessage="1" promptTitle="Värmekälla" prompt="Värmekälla enl BEN: Data väljs enl. tabellverk för års-COP för uppvärmning av varmvatten vilket ger lite moderata värden för hur mycket ett värmesystem kan ge_x000a_Övriga värmesystem ger normalvärden för värmesystem med lite marginal." sqref="D23">
      <formula1>$B$206:$B$223</formula1>
    </dataValidation>
    <dataValidation operator="equal" allowBlank="1" showInputMessage="1" showErrorMessage="1" promptTitle="Vädringspåslag Ben-2" prompt="Ökad energianvändning på grund av vädring bör beaktas i energiberäk- ningen. Ett påslag på 4 kWh/m2/Atemp år bör användas om inte ett annat värde kan motiveras. Vid ett energipåslag behöver årsverkningsgraden hos värmekällan beakta_x000d_I BEN-1 var det 4 W/m2_x000d_" sqref="D21"/>
    <dataValidation type="decimal" allowBlank="1" showInputMessage="1" showErrorMessage="1" promptTitle="Uppvärmd area innanför klimathöljet." prompt="Innerväggar och håligheter övre plan medräknas i A-Temp._x000a_Area för garage i bostad ingår inte i A-temp för fördelning, men areans värmeåtgång ska ingå i beräkningen om den är värmd till mer än 10 grader C" sqref="D16">
      <formula1>0</formula1>
      <formula2>100000000</formula2>
    </dataValidation>
    <dataValidation type="decimal" allowBlank="1" showInputMessage="1" showErrorMessage="1" promptTitle="Luftflöde" prompt="Kan kan skrivas över med eget värde om luftflödet är större än 0,35 l/s/m2_x000a_I originakblankett är detta värde 0,35" sqref="D58">
      <formula1>0</formula1>
      <formula2>1.35</formula2>
    </dataValidation>
    <dataValidation type="list" operator="equal" allowBlank="1" showErrorMessage="1" sqref="D44">
      <formula1>"Frånluft,FTX,Självdrag,? men ej FTX"</formula1>
    </dataValidation>
    <dataValidation operator="equal" allowBlank="1" showInputMessage="1" showErrorMessage="1" promptTitle="Kan skrivas över med eget värde" prompt="Originalformel =D165" sqref="D51:D53"/>
    <dataValidation allowBlank="1" showInputMessage="1" showErrorMessage="1" prompt="Tidigare indata angav 500 kWh/år + 300 kWh/år per lägenhet_x000a_Enligt tolkning av BEN-1 ska detta värde sättas till 0_x000a_" sqref="D35"/>
    <dataValidation allowBlank="1" showInputMessage="1" showErrorMessage="1" promptTitle="Fläktars effektförbrukning." prompt="Beräkns utifrån FSP och area._x000d_Original =D45*D58" sqref="D46"/>
    <dataValidation allowBlank="1" showInputMessage="1" showErrorMessage="1" promptTitle="ACirkulationspumpars effekt" prompt="Cirkulationspumpars effekt per m2_x000d_Original =C236" sqref="D47"/>
    <dataValidation type="list" operator="equal" allowBlank="1" showInputMessage="1" showErrorMessage="1" promptTitle="Bostadstyp" prompt="Välj bostadstyp i byggnaden._x000a_För små bostäder i flerbostadshus gäller att _x000a_merparten av A-temp ska  innehålla lägenheter mindre än 35 m2 boarea vardera." sqref="D7">
      <formula1>$B$196:$B$199</formula1>
    </dataValidation>
    <dataValidation operator="equal" allowBlank="1" showErrorMessage="1" promptTitle="Bostadstyp" prompt="Välj bostadstyp i byggnaden._x000a_För små bostäder i flerbostadshus gäller att _x000a_merparten av A-temp ska  innehålla lägenheter mindre än 35 m2 boarea vardera." sqref="C3:C4 E3:E10 E12:E15">
      <formula1>0</formula1>
      <formula2>0</formula2>
    </dataValidation>
    <dataValidation type="list" operator="equal" allowBlank="1" showErrorMessage="1" promptTitle="Bostadstyp" prompt="Välj bostadstyp i byggnaden._x000a_För små bostäder i flerbostadshus gäller att _x000a_merparten av A-temp ska  innehålla lägenheter mindre än 35 m2 boarea vardera." sqref="D3:D4">
      <formula1>"Småhus,Flerbostadshus,Flerbostadshus lght &lt; 35 m2,Lokal"</formula1>
      <formula2>0</formula2>
    </dataValidation>
    <dataValidation operator="equal" allowBlank="1" showErrorMessage="1" promptTitle="Klimatzon" sqref="C5:C6">
      <formula1>0</formula1>
      <formula2>0</formula2>
    </dataValidation>
    <dataValidation operator="equal" showInputMessage="1" showErrorMessage="1" promptTitle="Ort för dimensionerande ute" prompt="I originalblanketten räknas  DVUT automatiskt._x000a_från vald ort och tidskonstant." sqref="D9"/>
    <dataValidation operator="equal" allowBlank="1" showInputMessage="1" showErrorMessage="1" promptTitle="DVUT" prompt="Värdet räknas ut från vald ort._x000a_Originalformel=R243" sqref="D10"/>
    <dataValidation type="whole" allowBlank="1" showInputMessage="1" showErrorMessage="1" promptTitle="Frän EnergyCalc" prompt="Rapportsida 1_x000d_BEN 2 kräver särskild utredning om man vill använda högre värde än 96 tim._x000d_Större värde ger lägre dimensionerande utetemperatur." sqref="D12">
      <formula1>0</formula1>
      <formula2>191</formula2>
    </dataValidation>
    <dataValidation operator="equal" allowBlank="1" showInputMessage="1" showErrorMessage="1" promptTitle="Från EnergyCalc" prompt="Rapportsida 1 _x000d_" sqref="D13"/>
    <dataValidation type="decimal" allowBlank="1" showInputMessage="1" showErrorMessage="1" promptTitle="Data från EnergyCalc" prompt="Rapportsida 1" sqref="D15">
      <formula1>0.001</formula1>
      <formula2>5</formula2>
    </dataValidation>
    <dataValidation allowBlank="1" showInputMessage="1" showErrorMessage="1" promptTitle="Övrig fastighetsel" sqref="D49"/>
    <dataValidation allowBlank="1" showInputMessage="1" showErrorMessage="1" promptTitle="Normalvärden BEN-1" sqref="D33"/>
    <dataValidation type="list" operator="equal" allowBlank="1" showInputMessage="1" showErrorMessage="1" promptTitle="Län" prompt="Filtrerar valbara orter kommuner" sqref="D5">
      <formula1>LänFgeo</formula1>
    </dataValidation>
    <dataValidation operator="equal" allowBlank="1" showErrorMessage="1" promptTitle="Bostadstyp" sqref="D14"/>
    <dataValidation type="decimal" allowBlank="1" showInputMessage="1" showErrorMessage="1" promptTitle="Energianvändning - brutto" prompt="Från EnergyCalc _x000a_Rapportsida 2 mitt höger." sqref="D20">
      <formula1>0</formula1>
      <formula2>100000000</formula2>
    </dataValidation>
    <dataValidation allowBlank="1" showInputMessage="1" showErrorMessage="1" promptTitle="Energianvändning netto uppvärm" prompt="Köpt energi för uppvärmning och ventillation. Bruttoenergi  justerad med inverkan av värmesystemets verkningsgrad (års-COP)_x000d_" sqref="D25"/>
    <dataValidation operator="equal" allowBlank="1" showInputMessage="1" showErrorMessage="1" promptTitle="Verkningsgrad" sqref="D32 D37:D38"/>
    <dataValidation type="decimal" allowBlank="1" showInputMessage="1" showErrorMessage="1" promptTitle="Fläktars relativa effekttal" prompt="Autouträknad för vald ventilation._x000d_Kan ändras vid behov._x000d_Original =C233" sqref="D45">
      <formula1>0</formula1>
      <formula2>5</formula2>
    </dataValidation>
    <dataValidation operator="equal" allowBlank="1" showErrorMessage="1" promptTitle="besparing" prompt="bara info" sqref="D68">
      <formula1>0</formula1>
      <formula2>0</formula2>
    </dataValidation>
    <dataValidation type="decimal" allowBlank="1" showInputMessage="1" showErrorMessage="1" promptTitle="Års-COP värme-ventillation" prompt="Standardvärde beräknas ut automatiskt från vald ort och värmesystem.. Det är här du ska ändra värmesystemets prestanda om du har kända uppgifter och inte har valt BEN värmesystem._x000d_I original =C229" sqref="D24">
      <formula1>0</formula1>
      <formula2>100000000</formula2>
    </dataValidation>
    <dataValidation allowBlank="1" showInputMessage="1" showErrorMessage="1" promptTitle="Effektanv. Ben 1..3 justerad" prompt="Effekt för uppvärmning och ventillation justerad för vald ort enligt SMHI BBR" sqref="D27"/>
    <dataValidation type="decimal" allowBlank="1" showInputMessage="1" showErrorMessage="1" promptTitle="COP @ DVUT värme  &amp; ventillation" prompt="Standardvärde för verkningsgraden (COP) vid DVUT,  beräknas ut automatiskt från vald ort och värmesystem.._x000a__x000d_I origin=R234" sqref="D28">
      <formula1>0</formula1>
      <formula2>100000000</formula2>
    </dataValidation>
    <dataValidation operator="equal" allowBlank="1" showInputMessage="1" showErrorMessage="1" promptTitle="Års-COP varmvatten" prompt="Standardvärde beräknas ut automatiskt från vald ort och värmesystem.. Det är här du ska ändra värmesystemets prestanda om du har kända uppgifter och inte har valt BEN värmesystem._x000d_I original =E228" sqref="D36"/>
    <dataValidation type="decimal" allowBlank="1" showInputMessage="1" showErrorMessage="1" promptTitle="COP @ DVUT varmvatten" prompt="Standardvärde för verkningsgraden (COP) vid DVUT,  beräknas ut automatiskt från vald ort och värmesystem.._x000d_I original =IF((T225=1);1;R234)" sqref="D39">
      <formula1>0</formula1>
      <formula2>100000000</formula2>
    </dataValidation>
    <dataValidation operator="equal" allowBlank="1" showInputMessage="1" showErrorMessage="1" promptTitle="Primärenergital enl BEN-1..3" prompt="Konstante för värmetyp enligt BEN 1..3_x000d_=C225 i original" sqref="D55"/>
    <dataValidation allowBlank="1" showInputMessage="1" showErrorMessage="1" promptTitle="Energi pumpar &amp; fläktmotorer" prompt="Sammanställning energiförbrukning för fläktar och cirkulationspumpar._x000a_=(D49+D46)*D16*365*24/1000" sqref="D48"/>
    <dataValidation operator="equal" allowBlank="1" showInputMessage="1" showErrorMessage="1" promptTitle="Total fastighetsel" prompt="Originalformel =D240+D49" sqref="D50"/>
    <dataValidation operator="equal" allowBlank="1" showInputMessage="1" showErrorMessage="1" promptTitle="BBR primärenergital" prompt="Sammmanställning / beräkning av primärenergitalet" sqref="D57"/>
    <dataValidation operator="equal" allowBlank="1" showInputMessage="1" showErrorMessage="1" promptTitle="Erforderlig köpt effekt" sqref="D61"/>
    <dataValidation operator="equal" allowBlank="1" showInputMessage="1" showErrorMessage="1" promptTitle="Beräkningsresultat" prompt="Beräkningsresultat" sqref="D62:D64"/>
    <dataValidation allowBlank="1" showInputMessage="1" showErrorMessage="1" promptTitle="Beräkningsresultat" prompt="Beräkningsresultat" sqref="D65"/>
    <dataValidation type="decimal" allowBlank="1" showInputMessage="1" showErrorMessage="1" promptTitle="Beräkningsresultat" prompt="Beräkningsresultat" sqref="D66">
      <formula1>0</formula1>
      <formula2>100000000</formula2>
    </dataValidation>
    <dataValidation allowBlank="1" showInputMessage="1" showErrorMessage="1" promptTitle="Plats för egna noteringar" prompt="Plats för egna noteringar" sqref="B74:D74"/>
    <dataValidation operator="equal" allowBlank="1" showErrorMessage="1" sqref="D60"/>
    <dataValidation operator="equal" allowBlank="1" showInputMessage="1" showErrorMessage="1" promptTitle="Primärenergikonatant enl BBR" prompt="Konstant enligt BBR25_x000a_1,6 för fastighetsel via el_x000a_1,0 för annat slag av fastighetsenergi" sqref="D56"/>
    <dataValidation allowBlank="1" showInputMessage="1" showErrorMessage="1" prompt="Här skriver du in rubrik för &quot;gratisenergi&quot; som Solfångare, Solcelleer eller annan gratisenergi. Observera att el som levereras ut på allmänna elnätet inte kan tillgodoräknas.  Ved är inte heller gratisenegi." sqref="B22"/>
    <dataValidation type="list" allowBlank="1" showInputMessage="1" showErrorMessage="1" sqref="B146">
      <formula1>$B$151:$B$172</formula1>
    </dataValidation>
    <dataValidation allowBlank="1" showInputMessage="1" showErrorMessage="1" promptTitle="Energianvändning Netto- justerad" prompt="Köpt energi för uppvärmning och ventillation justerad för vald primärort" sqref="D30:D31"/>
    <dataValidation operator="equal" allowBlank="1" showInputMessage="1" showErrorMessage="1" sqref="D54"/>
    <dataValidation allowBlank="1" showInputMessage="1" showErrorMessage="1" promptTitle="Energianvändning Ben 1/2 justera" prompt="Köpt energi för uppvärmning och ventillation justerad för vald primärort enligt BEN 1..3._x000d_Relativt energital" sqref="D26"/>
    <dataValidation allowBlank="1" showInputMessage="1" showErrorMessage="1" promptTitle="Effektbehov Netto- justerad" prompt="Erforderlig effekt för uppvärmning och ventillation justerad för vald primärort" sqref="D29"/>
  </dataValidations>
  <pageMargins left="0.45" right="0.05" top="0.36000000000000004" bottom="0.16" header="0.89055118110236231" footer="0.30000000000000004"/>
  <pageSetup paperSize="9" scale="93" firstPageNumber="0" orientation="portrait"/>
  <headerFooter alignWithMargins="0">
    <oddFooter>&amp;C&amp;"Times New Roman,Regular"&amp;12&amp;I000000&amp;F&amp;R&amp;"Times New Roman,Regular"&amp;12&amp;I000000Utskriven:_x000D_&amp;D</oddFooter>
  </headerFooter>
  <rowBreaks count="1" manualBreakCount="1">
    <brk id="118" min="14" max="20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T87"/>
  <sheetViews>
    <sheetView showRuler="0" zoomScale="125" zoomScaleNormal="125" zoomScalePageLayoutView="125" workbookViewId="0">
      <selection activeCell="B3" sqref="B3"/>
    </sheetView>
  </sheetViews>
  <sheetFormatPr baseColWidth="10" defaultColWidth="8.83203125" defaultRowHeight="12.75" customHeight="1" x14ac:dyDescent="0"/>
  <cols>
    <col min="1" max="1" width="32.33203125" customWidth="1"/>
    <col min="2" max="2" width="18" customWidth="1"/>
    <col min="3" max="3" width="17.83203125" customWidth="1"/>
    <col min="4" max="4" width="59.5" style="80" customWidth="1"/>
    <col min="5" max="5" width="16.6640625" style="80" customWidth="1"/>
    <col min="6" max="6" width="14.1640625" customWidth="1"/>
    <col min="15" max="15" width="2.33203125" customWidth="1"/>
    <col min="17" max="17" width="10.6640625" customWidth="1"/>
    <col min="18" max="18" width="11.5" customWidth="1"/>
    <col min="19" max="19" width="7.5" customWidth="1"/>
    <col min="20" max="20" width="8.33203125" customWidth="1"/>
    <col min="21" max="21" width="7" customWidth="1"/>
  </cols>
  <sheetData>
    <row r="1" spans="1:5" ht="12.75" customHeight="1">
      <c r="B1" s="81"/>
      <c r="D1"/>
      <c r="E1"/>
    </row>
    <row r="2" spans="1:5" ht="12.75" customHeight="1">
      <c r="B2" s="82" t="s">
        <v>45</v>
      </c>
      <c r="D2"/>
      <c r="E2"/>
    </row>
    <row r="3" spans="1:5" ht="22.25" customHeight="1">
      <c r="A3" t="str">
        <f>C24</f>
        <v>Transmission</v>
      </c>
      <c r="B3" s="83">
        <v>10000</v>
      </c>
      <c r="D3"/>
      <c r="E3"/>
    </row>
    <row r="4" spans="1:5" ht="18.75" customHeight="1">
      <c r="A4" t="s">
        <v>62</v>
      </c>
      <c r="B4" s="83">
        <v>0</v>
      </c>
      <c r="D4"/>
      <c r="E4"/>
    </row>
    <row r="5" spans="1:5" ht="18.75" customHeight="1">
      <c r="A5" t="str">
        <f>C26</f>
        <v>Luftläckage</v>
      </c>
      <c r="B5" s="83">
        <v>0</v>
      </c>
      <c r="C5" s="84"/>
      <c r="D5"/>
      <c r="E5"/>
    </row>
    <row r="6" spans="1:5" ht="18.75" customHeight="1">
      <c r="A6" t="str">
        <f>C32</f>
        <v>Internt tillskott</v>
      </c>
      <c r="B6" s="83">
        <v>0</v>
      </c>
      <c r="D6"/>
      <c r="E6"/>
    </row>
    <row r="7" spans="1:5" ht="18.75" customHeight="1">
      <c r="A7" t="str">
        <f>C33</f>
        <v>Solinstrålning fönster</v>
      </c>
      <c r="B7" s="83">
        <v>0</v>
      </c>
      <c r="D7"/>
      <c r="E7"/>
    </row>
    <row r="8" spans="1:5" ht="44.25" customHeight="1"/>
    <row r="9" spans="1:5" ht="12.75" customHeight="1">
      <c r="A9" s="33" t="s">
        <v>119</v>
      </c>
      <c r="D9"/>
      <c r="E9"/>
    </row>
    <row r="10" spans="1:5" ht="18.75" customHeight="1">
      <c r="A10" t="s">
        <v>120</v>
      </c>
      <c r="D10"/>
      <c r="E10"/>
    </row>
    <row r="11" spans="1:5" ht="18.75" customHeight="1">
      <c r="A11" t="s">
        <v>666</v>
      </c>
      <c r="D11"/>
      <c r="E11"/>
    </row>
    <row r="12" spans="1:5" ht="18.75" customHeight="1">
      <c r="A12" t="str">
        <f>'Energibalansrapport proj'!P101</f>
        <v/>
      </c>
      <c r="D12"/>
      <c r="E12"/>
    </row>
    <row r="13" spans="1:5" ht="18.75" customHeight="1">
      <c r="A13" t="str">
        <f>'Energibalansrapport proj'!P225</f>
        <v>Jord/Berg -värmepump besparing @BEN</v>
      </c>
      <c r="D13"/>
      <c r="E13"/>
    </row>
    <row r="14" spans="1:5" ht="18.75" customHeight="1">
      <c r="A14" s="84" t="s">
        <v>121</v>
      </c>
      <c r="D14"/>
      <c r="E14"/>
    </row>
    <row r="15" spans="1:5" ht="12.75" customHeight="1">
      <c r="D15"/>
      <c r="E15"/>
    </row>
    <row r="16" spans="1:5" ht="13.5" customHeight="1"/>
    <row r="17" spans="1:11" ht="15.75" customHeight="1"/>
    <row r="18" spans="1:11" ht="13.5" customHeight="1"/>
    <row r="19" spans="1:11" ht="25" customHeight="1">
      <c r="A19" s="248" t="str">
        <f>CONCATENATE('Energibalansrapport proj'!C3,"  Projekterad energiförbrukning för uppvärmning och varmvatten (BEN-1..3)   ",ROUND(N(D29),0)," kWh/år")</f>
        <v xml:space="preserve">  Projekterad energiförbrukning för uppvärmning och varmvatten (BEN-1..3)   14717 kWh/år</v>
      </c>
      <c r="B19" s="283"/>
    </row>
    <row r="20" spans="1:11" ht="8" customHeight="1">
      <c r="A20" s="85"/>
      <c r="B20" s="85"/>
      <c r="C20" s="85"/>
      <c r="D20" s="86"/>
      <c r="E20" s="80" t="str">
        <f>T(D29)</f>
        <v/>
      </c>
    </row>
    <row r="21" spans="1:11" ht="409.5" customHeight="1"/>
    <row r="22" spans="1:11" ht="18" hidden="1" customHeight="1"/>
    <row r="23" spans="1:11" ht="12.75" hidden="1" customHeight="1">
      <c r="A23" t="s">
        <v>122</v>
      </c>
      <c r="B23" t="s">
        <v>52</v>
      </c>
      <c r="D23" s="80" t="s">
        <v>123</v>
      </c>
      <c r="F23" t="s">
        <v>123</v>
      </c>
    </row>
    <row r="24" spans="1:11" ht="18.75" hidden="1" customHeight="1">
      <c r="A24" t="s">
        <v>124</v>
      </c>
      <c r="B24" s="175">
        <f>100*D24/B$29</f>
        <v>67.949092539869127</v>
      </c>
      <c r="C24" s="175" t="str">
        <f>A24</f>
        <v>Transmission</v>
      </c>
      <c r="D24" s="80">
        <f>F24</f>
        <v>10000</v>
      </c>
      <c r="F24" s="81">
        <f>B3</f>
        <v>10000</v>
      </c>
    </row>
    <row r="25" spans="1:11" ht="18.75" hidden="1" customHeight="1">
      <c r="A25" t="s">
        <v>125</v>
      </c>
      <c r="B25" s="175">
        <f>100*D25/B$29</f>
        <v>4.0769455523921483</v>
      </c>
      <c r="C25" s="175" t="str">
        <f>A25</f>
        <v>Ventillation+vädring</v>
      </c>
      <c r="D25" s="80">
        <f>F25</f>
        <v>600</v>
      </c>
      <c r="F25" s="81">
        <f>B4+'Energibalansrapport proj'!T100</f>
        <v>600</v>
      </c>
    </row>
    <row r="26" spans="1:11" ht="18.75" hidden="1" customHeight="1">
      <c r="A26" t="s">
        <v>126</v>
      </c>
      <c r="B26" s="175">
        <f>100*D26/B$29</f>
        <v>0</v>
      </c>
      <c r="C26" s="175" t="str">
        <f>A26</f>
        <v>Luftläckage</v>
      </c>
      <c r="D26" s="80">
        <f>F26</f>
        <v>0</v>
      </c>
      <c r="F26" s="81">
        <f>B5</f>
        <v>0</v>
      </c>
      <c r="H26" s="64">
        <f>SUM(F24:F26)</f>
        <v>10600</v>
      </c>
    </row>
    <row r="27" spans="1:11" ht="18.75" hidden="1" customHeight="1">
      <c r="A27" t="s">
        <v>127</v>
      </c>
      <c r="B27" s="175">
        <f>100*D27/B$29</f>
        <v>20.38472776196074</v>
      </c>
      <c r="C27" s="175" t="str">
        <f>A27</f>
        <v>Varmvatten</v>
      </c>
      <c r="D27" s="80">
        <f>F27</f>
        <v>3000</v>
      </c>
      <c r="F27" s="147">
        <f>'Energibalansrapport proj'!D34+'Energibalansrapport proj'!D35</f>
        <v>3000</v>
      </c>
      <c r="K27" s="87">
        <f>A29</f>
        <v>0</v>
      </c>
    </row>
    <row r="28" spans="1:11" ht="18.75" hidden="1" customHeight="1">
      <c r="A28" t="s">
        <v>128</v>
      </c>
      <c r="B28" s="175" t="s">
        <v>129</v>
      </c>
      <c r="C28" s="175" t="str">
        <f>A28</f>
        <v>Installationer</v>
      </c>
      <c r="D28" s="80">
        <f>F28</f>
        <v>1116.9000000000001</v>
      </c>
      <c r="F28" s="81">
        <f>'Energibalansrapport proj'!T124</f>
        <v>1116.9000000000001</v>
      </c>
    </row>
    <row r="29" spans="1:11" ht="12.75" hidden="1" customHeight="1">
      <c r="B29" s="281">
        <f>SUM(D24:D28)</f>
        <v>14716.9</v>
      </c>
      <c r="C29" s="175"/>
      <c r="D29" s="64">
        <f>SUM(F24:F28)</f>
        <v>14716.9</v>
      </c>
      <c r="F29" s="81"/>
    </row>
    <row r="30" spans="1:11" ht="15.75" hidden="1" customHeight="1">
      <c r="B30" s="175"/>
      <c r="C30" s="175"/>
      <c r="F30" s="81"/>
    </row>
    <row r="31" spans="1:11" ht="15.75" hidden="1" customHeight="1">
      <c r="B31" s="175"/>
      <c r="C31" s="175"/>
      <c r="F31" s="81"/>
    </row>
    <row r="32" spans="1:11" ht="15.75" hidden="1" customHeight="1">
      <c r="B32" s="175" t="e">
        <f>100*E32/E$37</f>
        <v>#DIV/0!</v>
      </c>
      <c r="C32" s="175" t="str">
        <f>A10</f>
        <v>Internt tillskott</v>
      </c>
      <c r="E32" s="80" t="e">
        <f>F32*F41/100</f>
        <v>#DIV/0!</v>
      </c>
      <c r="F32" s="81">
        <f>B6</f>
        <v>0</v>
      </c>
    </row>
    <row r="33" spans="2:11" ht="15.75" hidden="1" customHeight="1">
      <c r="B33" s="175" t="e">
        <f>100*E33/E$37</f>
        <v>#DIV/0!</v>
      </c>
      <c r="C33" s="175" t="str">
        <f>A11</f>
        <v>Solinstrålning fönster</v>
      </c>
      <c r="E33" s="80" t="e">
        <f>F33*F41/100</f>
        <v>#DIV/0!</v>
      </c>
      <c r="F33" s="81">
        <f>B7</f>
        <v>0</v>
      </c>
      <c r="H33" s="64">
        <f>SUM(F32:F33)</f>
        <v>0</v>
      </c>
    </row>
    <row r="34" spans="2:11" ht="15.75" hidden="1" customHeight="1">
      <c r="B34" s="175" t="e">
        <f>100*E34/E$37</f>
        <v>#DIV/0!</v>
      </c>
      <c r="C34" s="175" t="str">
        <f>A12</f>
        <v/>
      </c>
      <c r="E34" s="80">
        <f>F34</f>
        <v>0</v>
      </c>
      <c r="F34" s="81">
        <f>'Energibalansrapport proj'!T101</f>
        <v>0</v>
      </c>
      <c r="H34" s="64">
        <f>H26-H33</f>
        <v>10600</v>
      </c>
    </row>
    <row r="35" spans="2:11" ht="15.75" hidden="1" customHeight="1">
      <c r="B35" s="175" t="e">
        <f>100*E35/E$37</f>
        <v>#DIV/0!</v>
      </c>
      <c r="C35" s="175" t="str">
        <f>A13</f>
        <v>Jord/Berg -värmepump besparing @BEN</v>
      </c>
      <c r="E35" s="80">
        <f>F35</f>
        <v>2160</v>
      </c>
      <c r="F35" s="282">
        <f>'Energibalansrapport proj'!D63</f>
        <v>2160</v>
      </c>
      <c r="H35" s="64">
        <f>H34+F28+F27-E34</f>
        <v>14716.9</v>
      </c>
      <c r="K35" t="s">
        <v>130</v>
      </c>
    </row>
    <row r="36" spans="2:11" ht="15.75" hidden="1" customHeight="1">
      <c r="B36" s="175" t="e">
        <f>100*E36/E$37</f>
        <v>#DIV/0!</v>
      </c>
      <c r="C36" s="175" t="str">
        <f>A14</f>
        <v>Inköpt energi</v>
      </c>
      <c r="E36" s="80">
        <f>F36</f>
        <v>2556.9</v>
      </c>
      <c r="F36" s="147">
        <f>'Energibalansrapport proj'!D66</f>
        <v>2556.9</v>
      </c>
    </row>
    <row r="37" spans="2:11" ht="15.75" hidden="1" customHeight="1">
      <c r="E37" s="80" t="e">
        <f>SUM(E32:E36)</f>
        <v>#DIV/0!</v>
      </c>
      <c r="F37">
        <f>SUM(F32:F36)</f>
        <v>4716.8999999999996</v>
      </c>
    </row>
    <row r="38" spans="2:11" ht="15.75" hidden="1" customHeight="1">
      <c r="F38">
        <f>F37-D29</f>
        <v>-10000</v>
      </c>
    </row>
    <row r="39" spans="2:11" ht="15.75" hidden="1" customHeight="1">
      <c r="F39" t="e">
        <f>F38/(F32+F33)</f>
        <v>#DIV/0!</v>
      </c>
    </row>
    <row r="40" spans="2:11" ht="15.75" hidden="1" customHeight="1">
      <c r="F40" t="e">
        <f>1-F39</f>
        <v>#DIV/0!</v>
      </c>
    </row>
    <row r="41" spans="2:11" ht="15.75" hidden="1" customHeight="1">
      <c r="E41" s="80" t="s">
        <v>131</v>
      </c>
      <c r="F41" s="81" t="e">
        <f>F40*100</f>
        <v>#DIV/0!</v>
      </c>
    </row>
    <row r="42" spans="2:11" ht="5.25" customHeight="1"/>
    <row r="59" spans="1:20" ht="12.75" customHeight="1">
      <c r="A59" s="64"/>
    </row>
    <row r="61" spans="1:20" ht="12.75" customHeight="1">
      <c r="N61" s="40"/>
      <c r="O61" s="40"/>
      <c r="P61" s="40"/>
      <c r="Q61" s="40"/>
      <c r="R61" s="40"/>
      <c r="S61" s="40"/>
      <c r="T61" s="40"/>
    </row>
    <row r="62" spans="1:20" ht="12.75" customHeight="1">
      <c r="N62" s="40"/>
      <c r="O62" s="40"/>
      <c r="P62" s="40"/>
      <c r="Q62" s="40"/>
      <c r="R62" s="40"/>
      <c r="S62" s="40"/>
      <c r="T62" s="40"/>
    </row>
    <row r="63" spans="1:20" ht="12.75" customHeight="1">
      <c r="N63" s="40"/>
      <c r="O63" s="40"/>
      <c r="P63" s="40"/>
      <c r="Q63" s="40"/>
      <c r="R63" s="88"/>
      <c r="S63" s="88"/>
      <c r="T63" s="40"/>
    </row>
    <row r="64" spans="1:20" ht="12.75" customHeight="1">
      <c r="N64" s="40"/>
      <c r="O64" s="40"/>
      <c r="P64" s="40"/>
      <c r="Q64" s="40"/>
      <c r="R64" s="142"/>
      <c r="S64" s="40"/>
      <c r="T64" s="40"/>
    </row>
    <row r="65" spans="14:20" ht="12.75" customHeight="1">
      <c r="N65" s="40"/>
      <c r="O65" s="40"/>
      <c r="P65" s="40"/>
      <c r="Q65" s="40"/>
      <c r="R65" s="40"/>
      <c r="S65" s="40"/>
      <c r="T65" s="40"/>
    </row>
    <row r="66" spans="14:20" ht="12.75" customHeight="1">
      <c r="N66" s="40"/>
      <c r="O66" s="40"/>
      <c r="P66" s="40"/>
      <c r="Q66" s="40"/>
      <c r="R66" s="40"/>
      <c r="S66" s="40"/>
      <c r="T66" s="40"/>
    </row>
    <row r="67" spans="14:20" ht="12.75" customHeight="1">
      <c r="N67" s="40"/>
      <c r="O67" s="40"/>
      <c r="P67" s="40"/>
      <c r="Q67" s="40"/>
      <c r="R67" s="143"/>
      <c r="S67" s="40"/>
      <c r="T67" s="40"/>
    </row>
    <row r="68" spans="14:20" ht="12.75" customHeight="1">
      <c r="N68" s="40"/>
      <c r="O68" s="40"/>
      <c r="P68" s="40"/>
      <c r="Q68" s="40"/>
      <c r="R68" s="40"/>
      <c r="S68" s="40"/>
      <c r="T68" s="40"/>
    </row>
    <row r="69" spans="14:20" ht="12.75" customHeight="1">
      <c r="N69" s="40"/>
      <c r="O69" s="40"/>
      <c r="P69" s="40"/>
      <c r="Q69" s="40"/>
      <c r="R69" s="40"/>
      <c r="S69" s="40"/>
      <c r="T69" s="40"/>
    </row>
    <row r="70" spans="14:20" ht="12.75" customHeight="1">
      <c r="N70" s="40"/>
      <c r="O70" s="40"/>
      <c r="P70" s="40"/>
      <c r="Q70" s="40"/>
      <c r="R70" s="142"/>
      <c r="S70" s="40"/>
      <c r="T70" s="40"/>
    </row>
    <row r="71" spans="14:20" ht="12.75" customHeight="1">
      <c r="N71" s="40"/>
      <c r="O71" s="40"/>
      <c r="P71" s="40"/>
      <c r="Q71" s="40"/>
      <c r="R71" s="142"/>
      <c r="S71" s="40"/>
      <c r="T71" s="40"/>
    </row>
    <row r="72" spans="14:20" ht="12.75" customHeight="1">
      <c r="N72" s="40"/>
      <c r="O72" s="40"/>
      <c r="P72" s="40"/>
      <c r="Q72" s="40"/>
      <c r="R72" s="142"/>
      <c r="S72" s="40"/>
      <c r="T72" s="40"/>
    </row>
    <row r="73" spans="14:20" ht="12.75" customHeight="1">
      <c r="N73" s="40"/>
      <c r="O73" s="40"/>
      <c r="P73" s="40"/>
      <c r="Q73" s="40"/>
      <c r="R73" s="142"/>
      <c r="S73" s="40"/>
      <c r="T73" s="40"/>
    </row>
    <row r="74" spans="14:20" ht="12.75" customHeight="1">
      <c r="N74" s="40"/>
      <c r="O74" s="40"/>
      <c r="P74" s="40"/>
      <c r="Q74" s="40"/>
      <c r="R74" s="142"/>
      <c r="S74" s="40"/>
      <c r="T74" s="40"/>
    </row>
    <row r="75" spans="14:20" ht="12.75" customHeight="1">
      <c r="N75" s="40"/>
      <c r="O75" s="40"/>
      <c r="P75" s="40"/>
      <c r="Q75" s="40"/>
      <c r="R75" s="142"/>
      <c r="S75" s="40"/>
      <c r="T75" s="40"/>
    </row>
    <row r="76" spans="14:20" ht="12.75" customHeight="1">
      <c r="N76" s="40"/>
      <c r="O76" s="40"/>
      <c r="P76" s="40"/>
      <c r="Q76" s="40"/>
      <c r="R76" s="142"/>
      <c r="S76" s="40"/>
      <c r="T76" s="40"/>
    </row>
    <row r="77" spans="14:20" ht="12.75" customHeight="1">
      <c r="N77" s="40"/>
      <c r="O77" s="40"/>
      <c r="P77" s="40"/>
      <c r="Q77" s="40"/>
      <c r="R77" s="40"/>
      <c r="S77" s="40"/>
      <c r="T77" s="40"/>
    </row>
    <row r="78" spans="14:20" ht="12.75" customHeight="1">
      <c r="N78" s="40"/>
      <c r="O78" s="144"/>
      <c r="P78" s="40"/>
      <c r="Q78" s="40"/>
      <c r="R78" s="40"/>
      <c r="S78" s="40"/>
      <c r="T78" s="40"/>
    </row>
    <row r="79" spans="14:20" ht="12.75" customHeight="1">
      <c r="N79" s="40"/>
      <c r="O79" s="40"/>
      <c r="P79" s="72"/>
      <c r="Q79" s="40"/>
      <c r="R79" s="145"/>
      <c r="S79" s="40"/>
      <c r="T79" s="40"/>
    </row>
    <row r="80" spans="14:20" ht="12.75" customHeight="1">
      <c r="N80" s="40"/>
      <c r="O80" s="40"/>
      <c r="P80" s="40"/>
      <c r="Q80" s="40"/>
      <c r="R80" s="146"/>
      <c r="S80" s="40"/>
      <c r="T80" s="40"/>
    </row>
    <row r="81" spans="14:20" ht="12.75" customHeight="1">
      <c r="N81" s="40"/>
      <c r="O81" s="40"/>
      <c r="P81" s="40"/>
      <c r="Q81" s="40"/>
      <c r="R81" s="142"/>
      <c r="S81" s="40"/>
      <c r="T81" s="40"/>
    </row>
    <row r="82" spans="14:20" ht="12.75" customHeight="1">
      <c r="N82" s="40"/>
      <c r="O82" s="40"/>
      <c r="P82" s="40"/>
      <c r="Q82" s="40"/>
      <c r="R82" s="142"/>
      <c r="S82" s="40"/>
      <c r="T82" s="40"/>
    </row>
    <row r="83" spans="14:20" ht="12.75" customHeight="1">
      <c r="N83" s="40"/>
      <c r="O83" s="40"/>
      <c r="P83" s="40"/>
      <c r="Q83" s="40"/>
      <c r="R83" s="142"/>
      <c r="S83" s="40"/>
      <c r="T83" s="40"/>
    </row>
    <row r="84" spans="14:20" ht="12.75" customHeight="1">
      <c r="N84" s="40"/>
      <c r="O84" s="40"/>
      <c r="P84" s="40"/>
      <c r="Q84" s="40"/>
      <c r="R84" s="40"/>
      <c r="S84" s="40"/>
      <c r="T84" s="40"/>
    </row>
    <row r="85" spans="14:20" ht="12.75" customHeight="1">
      <c r="N85" s="40"/>
      <c r="O85" s="40"/>
      <c r="P85" s="40"/>
      <c r="Q85" s="40"/>
      <c r="R85" s="40"/>
      <c r="S85" s="40"/>
      <c r="T85" s="40"/>
    </row>
    <row r="86" spans="14:20" ht="12.75" customHeight="1">
      <c r="N86" s="40"/>
      <c r="O86" s="40"/>
      <c r="P86" s="40"/>
      <c r="Q86" s="40"/>
      <c r="R86" s="40"/>
      <c r="S86" s="40"/>
      <c r="T86" s="40"/>
    </row>
    <row r="87" spans="14:20" ht="12.75" customHeight="1">
      <c r="N87" s="40"/>
      <c r="O87" s="40"/>
      <c r="P87" s="40"/>
      <c r="Q87" s="40"/>
      <c r="R87" s="40"/>
      <c r="S87" s="40"/>
      <c r="T87" s="40"/>
    </row>
  </sheetData>
  <sheetProtection selectLockedCells="1" selectUnlockedCells="1"/>
  <phoneticPr fontId="15" type="noConversion"/>
  <dataValidations xWindow="787" yWindow="224" count="4">
    <dataValidation operator="equal" allowBlank="1" showInputMessage="1" showErrorMessage="1" prompt="Data från EnergyCalc beräkning." sqref="B3">
      <formula1>0</formula1>
      <formula2>0</formula2>
    </dataValidation>
    <dataValidation operator="equal" allowBlank="1" showInputMessage="1" showErrorMessage="1" prompt="Data från beräkning med EnegyCalc" sqref="B4 B6:B7">
      <formula1>0</formula1>
      <formula2>0</formula2>
    </dataValidation>
    <dataValidation operator="equal" allowBlank="1" showInputMessage="1" showErrorMessage="1" prompt="Data från beräkning med EnegyCalcv" sqref="B5">
      <formula1>0</formula1>
      <formula2>0</formula2>
    </dataValidation>
    <dataValidation allowBlank="1" showInputMessage="1" showErrorMessage="1" promptTitle="Text gratienergi" prompt="Texten ändras på proj sidan" sqref="A12"/>
  </dataValidations>
  <pageMargins left="0.25" right="0.25" top="0.75000000000000011" bottom="0.75000000000000011" header="0.30000000000000004" footer="0.30000000000000004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A1:E73"/>
  <sheetViews>
    <sheetView showRuler="0" zoomScale="125" zoomScaleNormal="125" zoomScalePageLayoutView="125" workbookViewId="0">
      <selection activeCell="C3" sqref="C3"/>
    </sheetView>
  </sheetViews>
  <sheetFormatPr baseColWidth="10" defaultColWidth="11.5" defaultRowHeight="12" x14ac:dyDescent="0"/>
  <cols>
    <col min="1" max="1" width="46" style="1" customWidth="1"/>
    <col min="2" max="2" width="10.83203125" style="43" customWidth="1"/>
    <col min="3" max="3" width="13" style="3" customWidth="1"/>
    <col min="4" max="4" width="14" style="3" customWidth="1"/>
    <col min="5" max="5" width="8.6640625" style="3" hidden="1" customWidth="1"/>
    <col min="6" max="6" width="16.6640625" customWidth="1"/>
  </cols>
  <sheetData>
    <row r="1" spans="1:5" ht="15" customHeight="1">
      <c r="A1" s="313">
        <f>'Energibalansrapport proj'!C3</f>
        <v>0</v>
      </c>
      <c r="C1"/>
      <c r="D1"/>
      <c r="E1"/>
    </row>
    <row r="2" spans="1:5">
      <c r="A2" s="373" t="s">
        <v>197</v>
      </c>
      <c r="B2" s="374"/>
      <c r="C2"/>
      <c r="D2"/>
      <c r="E2"/>
    </row>
    <row r="3" spans="1:5" ht="18" customHeight="1">
      <c r="A3" s="185" t="s">
        <v>642</v>
      </c>
      <c r="B3" s="340"/>
      <c r="C3" s="341" t="s">
        <v>205</v>
      </c>
      <c r="D3"/>
      <c r="E3"/>
    </row>
    <row r="4" spans="1:5" ht="24" hidden="1" customHeight="1">
      <c r="A4" s="1" t="s">
        <v>140</v>
      </c>
      <c r="B4" s="149" t="s">
        <v>141</v>
      </c>
      <c r="C4" s="3" t="s">
        <v>142</v>
      </c>
      <c r="D4" s="3" t="s">
        <v>143</v>
      </c>
      <c r="E4" s="150" t="s">
        <v>144</v>
      </c>
    </row>
    <row r="5" spans="1:5" hidden="1">
      <c r="A5" s="1" t="s">
        <v>145</v>
      </c>
      <c r="B5"/>
      <c r="C5"/>
      <c r="D5"/>
      <c r="E5"/>
    </row>
    <row r="6" spans="1:5" ht="16" hidden="1">
      <c r="A6" s="151" t="s">
        <v>146</v>
      </c>
      <c r="B6"/>
      <c r="C6" s="3">
        <v>12</v>
      </c>
      <c r="D6" s="3">
        <v>0</v>
      </c>
      <c r="E6" s="150">
        <f>D6*C6</f>
        <v>0</v>
      </c>
    </row>
    <row r="7" spans="1:5" ht="16" hidden="1">
      <c r="A7" s="151">
        <v>2</v>
      </c>
      <c r="B7"/>
      <c r="C7"/>
      <c r="D7" s="3">
        <v>0</v>
      </c>
      <c r="E7" s="150">
        <f>D7*C7</f>
        <v>0</v>
      </c>
    </row>
    <row r="8" spans="1:5" ht="16" hidden="1">
      <c r="A8" s="151">
        <v>3</v>
      </c>
      <c r="B8"/>
      <c r="C8"/>
      <c r="D8" s="3">
        <v>0</v>
      </c>
      <c r="E8" s="150">
        <f>D8*C8</f>
        <v>0</v>
      </c>
    </row>
    <row r="9" spans="1:5" ht="16" hidden="1">
      <c r="A9" s="151">
        <v>4</v>
      </c>
      <c r="B9"/>
      <c r="C9"/>
      <c r="D9" s="3">
        <v>0</v>
      </c>
      <c r="E9" s="150">
        <f>D9*C9</f>
        <v>0</v>
      </c>
    </row>
    <row r="10" spans="1:5" ht="16" hidden="1">
      <c r="A10" s="151">
        <v>5</v>
      </c>
      <c r="B10"/>
      <c r="C10"/>
      <c r="D10" s="3">
        <v>0</v>
      </c>
      <c r="E10" s="150">
        <f>D10*C10</f>
        <v>0</v>
      </c>
    </row>
    <row r="11" spans="1:5" ht="16" hidden="1">
      <c r="A11" s="151">
        <v>6</v>
      </c>
      <c r="B11" s="152"/>
      <c r="C11" s="153"/>
      <c r="D11" s="154"/>
      <c r="E11" s="155">
        <f>SUM(E6:E10)</f>
        <v>0</v>
      </c>
    </row>
    <row r="12" spans="1:5" ht="22.25" hidden="1" customHeight="1">
      <c r="A12" s="1" t="s">
        <v>147</v>
      </c>
      <c r="B12"/>
      <c r="C12"/>
      <c r="D12"/>
      <c r="E12" s="150">
        <f>E11</f>
        <v>0</v>
      </c>
    </row>
    <row r="13" spans="1:5" ht="17" customHeight="1">
      <c r="A13" t="s">
        <v>193</v>
      </c>
      <c r="B13"/>
      <c r="C13"/>
      <c r="D13"/>
      <c r="E13"/>
    </row>
    <row r="14" spans="1:5" ht="24">
      <c r="A14" s="156" t="s">
        <v>148</v>
      </c>
      <c r="B14" s="157"/>
      <c r="C14" s="70" t="s">
        <v>201</v>
      </c>
      <c r="D14" s="172" t="s">
        <v>194</v>
      </c>
      <c r="E14" s="70" t="s">
        <v>149</v>
      </c>
    </row>
    <row r="15" spans="1:5">
      <c r="A15" s="69" t="s">
        <v>150</v>
      </c>
      <c r="B15" s="159">
        <v>12</v>
      </c>
      <c r="C15" s="70"/>
      <c r="D15" s="158"/>
      <c r="E15" s="70"/>
    </row>
    <row r="16" spans="1:5">
      <c r="A16" s="69" t="s">
        <v>151</v>
      </c>
      <c r="B16" s="159">
        <f>5/7*365*48/52</f>
        <v>240.65934065934064</v>
      </c>
      <c r="C16" s="70"/>
      <c r="D16" s="158"/>
      <c r="E16" s="70"/>
    </row>
    <row r="17" spans="1:5" ht="14.5" customHeight="1">
      <c r="A17" s="69" t="s">
        <v>199</v>
      </c>
      <c r="B17" s="159">
        <v>7</v>
      </c>
      <c r="C17" s="73">
        <f>B37</f>
        <v>1261</v>
      </c>
      <c r="D17" s="161"/>
      <c r="E17" s="160">
        <f>C17*B17</f>
        <v>8827</v>
      </c>
    </row>
    <row r="18" spans="1:5" ht="17.25" customHeight="1">
      <c r="A18" s="69" t="s">
        <v>200</v>
      </c>
      <c r="B18" s="159">
        <v>0</v>
      </c>
      <c r="C18" s="73">
        <f>B37</f>
        <v>1261</v>
      </c>
      <c r="D18" s="161"/>
      <c r="E18" s="160">
        <f>C18*B18</f>
        <v>0</v>
      </c>
    </row>
    <row r="19" spans="1:5">
      <c r="A19" s="69" t="s">
        <v>152</v>
      </c>
      <c r="B19" s="157"/>
      <c r="C19" s="70"/>
      <c r="D19" s="162">
        <f>E19</f>
        <v>2910</v>
      </c>
      <c r="E19" s="70">
        <f>B25*E17+(1-B25)*E18</f>
        <v>2910</v>
      </c>
    </row>
    <row r="20" spans="1:5">
      <c r="A20" s="69" t="s">
        <v>153</v>
      </c>
      <c r="B20" s="159">
        <v>310</v>
      </c>
      <c r="C20" s="70"/>
      <c r="D20" s="158"/>
    </row>
    <row r="21" spans="1:5">
      <c r="A21" s="69" t="s">
        <v>154</v>
      </c>
      <c r="B21" s="157">
        <v>140</v>
      </c>
      <c r="C21" s="70"/>
      <c r="D21" s="158"/>
    </row>
    <row r="22" spans="1:5">
      <c r="A22" s="69" t="s">
        <v>155</v>
      </c>
      <c r="B22" s="157">
        <f>B20/B21</f>
        <v>2.2142857142857144</v>
      </c>
      <c r="C22" s="70"/>
      <c r="D22" s="158"/>
    </row>
    <row r="23" spans="1:5" ht="13">
      <c r="A23" s="163" t="s">
        <v>156</v>
      </c>
      <c r="B23" s="157">
        <f>B22*B38/1000</f>
        <v>2.1522857142857141</v>
      </c>
      <c r="C23" s="70"/>
      <c r="D23" s="158"/>
    </row>
    <row r="24" spans="1:5">
      <c r="A24" s="69" t="s">
        <v>157</v>
      </c>
      <c r="B24" s="157">
        <f>B15</f>
        <v>12</v>
      </c>
      <c r="C24" s="70"/>
      <c r="D24" s="158"/>
    </row>
    <row r="25" spans="1:5">
      <c r="A25" s="69" t="s">
        <v>158</v>
      </c>
      <c r="B25" s="157">
        <f>(B15/24)*(B16/365)</f>
        <v>0.32967032967032966</v>
      </c>
      <c r="C25" s="70"/>
      <c r="D25" s="158"/>
    </row>
    <row r="26" spans="1:5">
      <c r="A26" s="69" t="s">
        <v>159</v>
      </c>
      <c r="B26" s="157">
        <f>B25*B23*1000/1000</f>
        <v>0.70954474097331233</v>
      </c>
      <c r="C26" s="164"/>
      <c r="D26" s="173">
        <f>B26</f>
        <v>0.70954474097331233</v>
      </c>
    </row>
    <row r="27" spans="1:5">
      <c r="A27" s="69"/>
      <c r="B27" s="157"/>
      <c r="C27" s="70"/>
      <c r="D27" s="158"/>
    </row>
    <row r="28" spans="1:5" ht="13">
      <c r="A28" s="163" t="s">
        <v>160</v>
      </c>
      <c r="B28" s="157">
        <v>108</v>
      </c>
      <c r="C28" s="70"/>
      <c r="D28" s="158"/>
    </row>
    <row r="29" spans="1:5" ht="13">
      <c r="A29" s="163" t="s">
        <v>161</v>
      </c>
      <c r="B29" s="159">
        <v>0</v>
      </c>
      <c r="C29" s="70"/>
      <c r="D29" s="158"/>
    </row>
    <row r="30" spans="1:5">
      <c r="A30" s="69" t="s">
        <v>162</v>
      </c>
      <c r="B30" s="159">
        <v>0.3</v>
      </c>
      <c r="C30" s="70"/>
      <c r="D30" s="158"/>
    </row>
    <row r="31" spans="1:5">
      <c r="A31" s="69" t="s">
        <v>163</v>
      </c>
      <c r="B31" s="159">
        <v>8</v>
      </c>
      <c r="C31" s="70"/>
      <c r="D31" s="158"/>
    </row>
    <row r="32" spans="1:5">
      <c r="A32" s="69" t="s">
        <v>164</v>
      </c>
      <c r="B32" s="159">
        <v>10</v>
      </c>
      <c r="C32" s="70"/>
      <c r="D32" s="158"/>
    </row>
    <row r="33" spans="1:4">
      <c r="A33" s="69" t="s">
        <v>165</v>
      </c>
      <c r="B33" s="157">
        <f>B29*B30+B31*B32</f>
        <v>80</v>
      </c>
      <c r="C33" s="70"/>
      <c r="D33" s="158"/>
    </row>
    <row r="34" spans="1:4">
      <c r="A34" s="69" t="s">
        <v>166</v>
      </c>
      <c r="B34" s="157">
        <f>(B33*5/7)/24</f>
        <v>2.3809523809523809</v>
      </c>
      <c r="C34" s="70"/>
      <c r="D34" s="158"/>
    </row>
    <row r="35" spans="1:4">
      <c r="A35" s="171" t="s">
        <v>195</v>
      </c>
      <c r="B35" s="157">
        <f>B34*B28/1000</f>
        <v>0.25714285714285717</v>
      </c>
      <c r="C35" s="73"/>
      <c r="D35" s="162">
        <f>B35*1000</f>
        <v>257.14285714285717</v>
      </c>
    </row>
    <row r="36" spans="1:4">
      <c r="A36" s="156" t="s">
        <v>167</v>
      </c>
      <c r="B36" s="157"/>
      <c r="C36" s="70"/>
      <c r="D36" s="158"/>
    </row>
    <row r="37" spans="1:4">
      <c r="A37" t="s">
        <v>168</v>
      </c>
      <c r="B37" s="176">
        <v>1261</v>
      </c>
      <c r="C37" s="70"/>
      <c r="D37" s="158"/>
    </row>
    <row r="38" spans="1:4">
      <c r="A38" s="69" t="s">
        <v>169</v>
      </c>
      <c r="B38" s="159">
        <v>972</v>
      </c>
      <c r="C38" s="70"/>
      <c r="D38" s="158"/>
    </row>
    <row r="39" spans="1:4">
      <c r="A39" s="69" t="s">
        <v>170</v>
      </c>
      <c r="B39" s="159">
        <v>6.0149999999999997</v>
      </c>
      <c r="C39" s="70"/>
      <c r="D39" s="158"/>
    </row>
    <row r="40" spans="1:4">
      <c r="A40" s="69" t="s">
        <v>171</v>
      </c>
      <c r="B40" s="157">
        <f>B39*B38</f>
        <v>5846.58</v>
      </c>
      <c r="C40" s="70"/>
      <c r="D40" s="158"/>
    </row>
    <row r="41" spans="1:4">
      <c r="A41" s="69" t="s">
        <v>172</v>
      </c>
      <c r="B41" s="159">
        <v>0.1</v>
      </c>
      <c r="C41" s="70"/>
      <c r="D41" s="158"/>
    </row>
    <row r="42" spans="1:4">
      <c r="A42" s="69" t="s">
        <v>173</v>
      </c>
      <c r="B42" s="165">
        <f>(B37*B43*3.6)/B40</f>
        <v>1.2500908223268989</v>
      </c>
      <c r="C42" s="70"/>
      <c r="D42" s="158"/>
    </row>
    <row r="43" spans="1:4" ht="24">
      <c r="A43" s="171" t="s">
        <v>196</v>
      </c>
      <c r="B43" s="166">
        <v>1.61</v>
      </c>
      <c r="C43" s="70" t="s">
        <v>174</v>
      </c>
      <c r="D43" s="158"/>
    </row>
    <row r="44" spans="1:4">
      <c r="A44" s="68" t="s">
        <v>175</v>
      </c>
      <c r="B44" s="157">
        <f>(B24)*5/7</f>
        <v>8.5714285714285712</v>
      </c>
      <c r="C44" s="73"/>
      <c r="D44" s="158"/>
    </row>
    <row r="45" spans="1:4">
      <c r="A45" s="69" t="s">
        <v>176</v>
      </c>
      <c r="B45" s="157"/>
      <c r="C45" s="73"/>
      <c r="D45" s="174">
        <f>(B44/24)*B43+((24-B44)/24)*B41</f>
        <v>0.63928571428571435</v>
      </c>
    </row>
    <row r="46" spans="1:4" ht="24">
      <c r="A46" s="1" t="s">
        <v>177</v>
      </c>
      <c r="B46" s="149">
        <f>B43*B25+0.35</f>
        <v>0.88076923076923075</v>
      </c>
      <c r="C46" s="43"/>
      <c r="D46"/>
    </row>
    <row r="47" spans="1:4" ht="24">
      <c r="A47" s="148" t="s">
        <v>178</v>
      </c>
      <c r="B47" s="149" t="s">
        <v>179</v>
      </c>
      <c r="C47" s="3" t="s">
        <v>180</v>
      </c>
      <c r="D47" s="3" t="s">
        <v>181</v>
      </c>
    </row>
    <row r="48" spans="1:4">
      <c r="A48" s="1" t="s">
        <v>182</v>
      </c>
      <c r="B48" s="167">
        <f>22+20</f>
        <v>42</v>
      </c>
      <c r="C48" s="3">
        <v>1.5</v>
      </c>
      <c r="D48" s="168">
        <f t="shared" ref="D48:D53" si="0">C48*B48</f>
        <v>63</v>
      </c>
    </row>
    <row r="49" spans="1:4">
      <c r="A49" s="1" t="s">
        <v>183</v>
      </c>
      <c r="B49" s="167">
        <v>20</v>
      </c>
      <c r="C49" s="3">
        <v>5</v>
      </c>
      <c r="D49" s="168">
        <f t="shared" si="0"/>
        <v>100</v>
      </c>
    </row>
    <row r="50" spans="1:4">
      <c r="A50" s="1" t="s">
        <v>184</v>
      </c>
      <c r="B50" s="167">
        <v>8.5</v>
      </c>
      <c r="C50" s="3">
        <v>0.35</v>
      </c>
      <c r="D50" s="168">
        <f t="shared" si="0"/>
        <v>2.9749999999999996</v>
      </c>
    </row>
    <row r="51" spans="1:4">
      <c r="A51" s="1" t="s">
        <v>185</v>
      </c>
      <c r="B51" s="167">
        <v>16</v>
      </c>
      <c r="C51" s="3">
        <v>5</v>
      </c>
      <c r="D51" s="168">
        <f t="shared" si="0"/>
        <v>80</v>
      </c>
    </row>
    <row r="52" spans="1:4">
      <c r="A52" s="1" t="s">
        <v>202</v>
      </c>
      <c r="B52" s="167">
        <f>6+11</f>
        <v>17</v>
      </c>
      <c r="C52" s="3">
        <v>3</v>
      </c>
      <c r="D52" s="168">
        <f t="shared" si="0"/>
        <v>51</v>
      </c>
    </row>
    <row r="53" spans="1:4">
      <c r="A53" s="1" t="s">
        <v>186</v>
      </c>
      <c r="B53" s="167">
        <f>1261-SUM(B48:B52)</f>
        <v>1157.5</v>
      </c>
      <c r="C53" s="3">
        <v>1.5</v>
      </c>
      <c r="D53" s="168">
        <f t="shared" si="0"/>
        <v>1736.25</v>
      </c>
    </row>
    <row r="54" spans="1:4">
      <c r="A54" s="1" t="s">
        <v>187</v>
      </c>
      <c r="B54" s="149">
        <f>SUM(B48:B53)</f>
        <v>1261</v>
      </c>
      <c r="C54"/>
      <c r="D54" s="149">
        <f>SUM(D48:D53)</f>
        <v>2033.2249999999999</v>
      </c>
    </row>
    <row r="55" spans="1:4">
      <c r="A55" s="1" t="s">
        <v>203</v>
      </c>
      <c r="B55"/>
      <c r="C55"/>
      <c r="D55" s="169">
        <f>D54/B54</f>
        <v>1.6123909595559078</v>
      </c>
    </row>
    <row r="56" spans="1:4" ht="24">
      <c r="A56" s="148" t="s">
        <v>188</v>
      </c>
      <c r="B56" s="149" t="s">
        <v>189</v>
      </c>
      <c r="C56" s="3" t="s">
        <v>190</v>
      </c>
      <c r="D56" s="3" t="s">
        <v>22</v>
      </c>
    </row>
    <row r="57" spans="1:4">
      <c r="A57" s="1" t="s">
        <v>191</v>
      </c>
      <c r="B57" s="167">
        <v>22</v>
      </c>
      <c r="C57" s="13">
        <f>22+90+4.9*5.5+6+5*2.5</f>
        <v>157.44999999999999</v>
      </c>
      <c r="D57" s="3">
        <f>C57*B57</f>
        <v>3463.8999999999996</v>
      </c>
    </row>
    <row r="58" spans="1:4">
      <c r="A58" s="1" t="s">
        <v>192</v>
      </c>
      <c r="B58" s="167">
        <v>17</v>
      </c>
      <c r="C58" s="13">
        <f>2924-C57</f>
        <v>2766.55</v>
      </c>
      <c r="D58" s="3">
        <f>C58*B58</f>
        <v>47031.350000000006</v>
      </c>
    </row>
    <row r="59" spans="1:4">
      <c r="A59" s="1" t="s">
        <v>187</v>
      </c>
      <c r="B59" s="170">
        <f>D59/C59</f>
        <v>17.269237346101235</v>
      </c>
      <c r="C59" s="3">
        <f>C57+C58</f>
        <v>2924</v>
      </c>
      <c r="D59" s="3">
        <f>D57+D58</f>
        <v>50495.250000000007</v>
      </c>
    </row>
    <row r="70" spans="1:1" hidden="1">
      <c r="A70" s="41" t="s">
        <v>205</v>
      </c>
    </row>
    <row r="71" spans="1:1" hidden="1">
      <c r="A71" s="41" t="s">
        <v>623</v>
      </c>
    </row>
    <row r="72" spans="1:1" hidden="1">
      <c r="A72" s="41" t="s">
        <v>622</v>
      </c>
    </row>
    <row r="73" spans="1:1" hidden="1">
      <c r="A73" s="41" t="s">
        <v>68</v>
      </c>
    </row>
  </sheetData>
  <mergeCells count="1">
    <mergeCell ref="A2:B2"/>
  </mergeCells>
  <phoneticPr fontId="15" type="noConversion"/>
  <dataValidations xWindow="476" yWindow="276" count="1">
    <dataValidation type="list" allowBlank="1" showInputMessage="1" showErrorMessage="1" sqref="C3">
      <formula1>$A$70:$A$73</formula1>
    </dataValidation>
  </dataValidations>
  <pageMargins left="0.70000000000000007" right="0.10999999999999999" top="0.75000000000000011" bottom="0.75000000000000011" header="0.30000000000000004" footer="0.30000000000000004"/>
  <pageSetup paperSize="9" fitToWidth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IV53"/>
  <sheetViews>
    <sheetView tabSelected="1" showRuler="0" zoomScale="125" zoomScaleNormal="125" zoomScalePageLayoutView="125" workbookViewId="0">
      <selection activeCell="D6" sqref="D6"/>
    </sheetView>
  </sheetViews>
  <sheetFormatPr baseColWidth="10" defaultColWidth="11.5" defaultRowHeight="12" x14ac:dyDescent="0"/>
  <cols>
    <col min="1" max="1" width="3" customWidth="1"/>
    <col min="2" max="2" width="35" style="1" customWidth="1"/>
    <col min="3" max="3" width="11.5" style="2" customWidth="1"/>
    <col min="4" max="4" width="14.83203125" style="3" customWidth="1"/>
    <col min="5" max="5" width="11.5" style="4" customWidth="1"/>
    <col min="6" max="6" width="11.5" style="4" hidden="1" customWidth="1"/>
    <col min="7" max="7" width="15.1640625" style="1" customWidth="1"/>
    <col min="8" max="16384" width="11.5" style="1"/>
  </cols>
  <sheetData>
    <row r="1" spans="2:8" ht="15">
      <c r="B1" s="5" t="s">
        <v>651</v>
      </c>
      <c r="C1" s="6"/>
    </row>
    <row r="2" spans="2:8" ht="15">
      <c r="B2" s="314">
        <f>'Energibalansrapport proj'!C3</f>
        <v>0</v>
      </c>
      <c r="C2" s="6"/>
    </row>
    <row r="3" spans="2:8" ht="13.5" customHeight="1">
      <c r="B3" s="124" t="s">
        <v>665</v>
      </c>
      <c r="C3" s="6"/>
      <c r="G3" s="89"/>
      <c r="H3" s="89"/>
    </row>
    <row r="4" spans="2:8">
      <c r="B4" s="7" t="s">
        <v>0</v>
      </c>
      <c r="G4" s="89"/>
      <c r="H4" s="89"/>
    </row>
    <row r="5" spans="2:8">
      <c r="B5" s="8" t="s">
        <v>1</v>
      </c>
      <c r="G5" s="89"/>
      <c r="H5" s="89"/>
    </row>
    <row r="6" spans="2:8" ht="16" customHeight="1">
      <c r="B6" s="375" t="s">
        <v>701</v>
      </c>
      <c r="C6" s="375"/>
      <c r="D6" s="12"/>
      <c r="E6" s="9"/>
      <c r="F6" s="9"/>
      <c r="H6" s="89"/>
    </row>
    <row r="7" spans="2:8">
      <c r="B7" s="90" t="s">
        <v>2</v>
      </c>
      <c r="C7" s="343"/>
      <c r="D7" s="342" t="str">
        <f>'Indata Lokaler'!C3</f>
        <v>Småhus</v>
      </c>
      <c r="E7" s="127"/>
      <c r="F7" s="127" t="s">
        <v>3</v>
      </c>
      <c r="H7" s="89"/>
    </row>
    <row r="8" spans="2:8">
      <c r="B8" s="92" t="s">
        <v>4</v>
      </c>
      <c r="C8" s="91" t="s">
        <v>5</v>
      </c>
      <c r="D8" s="93" t="s">
        <v>6</v>
      </c>
      <c r="E8" s="127"/>
      <c r="F8" s="127"/>
      <c r="G8" s="89"/>
      <c r="H8" s="89"/>
    </row>
    <row r="9" spans="2:8">
      <c r="B9" s="90" t="s">
        <v>7</v>
      </c>
      <c r="C9" s="94"/>
      <c r="D9" s="95">
        <f>IF(OR(D7= "Flerbostadshus",D7= "Flerbostadshus lght &lt; 35 m2"),(IF((D8="ja"),22,21) ),(IF((D7="Småhus"),21,ROUND(('Indata Lokaler'!B59),1))))</f>
        <v>21</v>
      </c>
      <c r="E9" s="127"/>
      <c r="F9" s="127"/>
      <c r="G9" s="89"/>
      <c r="H9" s="89"/>
    </row>
    <row r="10" spans="2:8" ht="25">
      <c r="B10" s="96" t="s">
        <v>8</v>
      </c>
      <c r="C10" s="94" t="s">
        <v>9</v>
      </c>
      <c r="D10" s="97"/>
      <c r="E10" s="128"/>
      <c r="F10" s="127" t="s">
        <v>10</v>
      </c>
      <c r="G10" s="89"/>
    </row>
    <row r="11" spans="2:8">
      <c r="B11" s="90" t="s">
        <v>11</v>
      </c>
      <c r="C11" s="91" t="s">
        <v>12</v>
      </c>
      <c r="D11" s="98">
        <v>0</v>
      </c>
      <c r="E11" s="127">
        <f>F11*D11</f>
        <v>0</v>
      </c>
      <c r="F11" s="127">
        <v>1.42</v>
      </c>
      <c r="G11" s="89"/>
      <c r="H11"/>
    </row>
    <row r="12" spans="2:8">
      <c r="B12" s="90" t="s">
        <v>13</v>
      </c>
      <c r="C12" s="91" t="s">
        <v>12</v>
      </c>
      <c r="D12" s="98">
        <v>0</v>
      </c>
      <c r="E12" s="127">
        <f>F12*D12</f>
        <v>0</v>
      </c>
      <c r="F12" s="127">
        <v>1.63</v>
      </c>
      <c r="G12" s="89"/>
      <c r="H12"/>
    </row>
    <row r="13" spans="2:8">
      <c r="B13" s="90" t="s">
        <v>14</v>
      </c>
      <c r="C13" s="91" t="s">
        <v>12</v>
      </c>
      <c r="D13" s="98">
        <v>0</v>
      </c>
      <c r="E13" s="127">
        <f>F13*D13</f>
        <v>0</v>
      </c>
      <c r="F13" s="127">
        <v>2.1800000000000002</v>
      </c>
      <c r="G13" s="89"/>
      <c r="H13"/>
    </row>
    <row r="14" spans="2:8">
      <c r="B14" s="90" t="s">
        <v>15</v>
      </c>
      <c r="C14" s="91" t="s">
        <v>12</v>
      </c>
      <c r="D14" s="98">
        <v>0</v>
      </c>
      <c r="E14" s="127">
        <f>F14*D14</f>
        <v>0</v>
      </c>
      <c r="F14" s="127">
        <v>2.79</v>
      </c>
      <c r="H14"/>
    </row>
    <row r="15" spans="2:8">
      <c r="B15" s="90" t="s">
        <v>16</v>
      </c>
      <c r="C15" s="91" t="s">
        <v>12</v>
      </c>
      <c r="D15" s="98">
        <v>1</v>
      </c>
      <c r="E15" s="127">
        <f>F15*D15</f>
        <v>3.51</v>
      </c>
      <c r="F15" s="127">
        <v>3.51</v>
      </c>
      <c r="H15"/>
    </row>
    <row r="16" spans="2:8">
      <c r="B16" s="92" t="s">
        <v>17</v>
      </c>
      <c r="C16" s="91"/>
      <c r="D16" s="99">
        <f>SUM(D11:D15)</f>
        <v>1</v>
      </c>
      <c r="E16" s="128"/>
      <c r="F16" s="128"/>
      <c r="H16"/>
    </row>
    <row r="17" spans="2:256">
      <c r="B17" s="92" t="s">
        <v>18</v>
      </c>
      <c r="C17" s="91" t="s">
        <v>12</v>
      </c>
      <c r="D17" s="99">
        <f>SUM(E11:E15)</f>
        <v>3.51</v>
      </c>
      <c r="E17" s="128"/>
      <c r="F17" s="1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>
      <c r="B18" s="90" t="s">
        <v>19</v>
      </c>
      <c r="C18" s="94" t="s">
        <v>20</v>
      </c>
      <c r="D18" s="99">
        <f>F18</f>
        <v>80</v>
      </c>
      <c r="E18" s="127"/>
      <c r="F18" s="127">
        <v>80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>
      <c r="B19" s="90" t="s">
        <v>21</v>
      </c>
      <c r="C19" s="94" t="s">
        <v>22</v>
      </c>
      <c r="D19" s="100">
        <f>F19</f>
        <v>0.58333333333333337</v>
      </c>
      <c r="E19" s="127"/>
      <c r="F19" s="127">
        <f>14/24</f>
        <v>0.58333333333333337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>
      <c r="B20" s="90" t="s">
        <v>23</v>
      </c>
      <c r="C20" s="94" t="s">
        <v>24</v>
      </c>
      <c r="D20" s="101">
        <f>D19*D18*D17</f>
        <v>163.80000000000001</v>
      </c>
      <c r="E20" s="127" t="s">
        <v>24</v>
      </c>
      <c r="F20" s="12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>
      <c r="B21" s="90" t="s">
        <v>25</v>
      </c>
      <c r="C21" s="94" t="s">
        <v>26</v>
      </c>
      <c r="D21" s="98">
        <v>182.2</v>
      </c>
      <c r="E21" s="127"/>
      <c r="F21" s="127"/>
    </row>
    <row r="22" spans="2:256" ht="15.5" customHeight="1">
      <c r="B22" s="90" t="s">
        <v>27</v>
      </c>
      <c r="C22" s="94" t="s">
        <v>28</v>
      </c>
      <c r="D22" s="100">
        <f>D20/D21</f>
        <v>0.89901207464324928</v>
      </c>
      <c r="E22" s="127"/>
      <c r="F22" s="127"/>
    </row>
    <row r="23" spans="2:256" ht="22.25" customHeight="1">
      <c r="B23" s="90" t="s">
        <v>29</v>
      </c>
      <c r="C23" s="94" t="s">
        <v>30</v>
      </c>
      <c r="D23" s="99">
        <v>0.35</v>
      </c>
      <c r="E23" s="127"/>
      <c r="F23" s="127"/>
    </row>
    <row r="24" spans="2:256">
      <c r="B24" s="90" t="s">
        <v>31</v>
      </c>
      <c r="C24" s="94" t="s">
        <v>12</v>
      </c>
      <c r="D24" s="98">
        <v>2</v>
      </c>
      <c r="E24" s="127" t="s">
        <v>32</v>
      </c>
      <c r="F24" s="127"/>
    </row>
    <row r="25" spans="2:256">
      <c r="B25" s="90" t="s">
        <v>33</v>
      </c>
      <c r="C25" s="94" t="s">
        <v>26</v>
      </c>
      <c r="D25" s="98">
        <v>5</v>
      </c>
      <c r="E25" s="127" t="s">
        <v>32</v>
      </c>
      <c r="F25" s="127"/>
    </row>
    <row r="26" spans="2:256">
      <c r="B26" s="90" t="s">
        <v>34</v>
      </c>
      <c r="C26" s="94" t="s">
        <v>35</v>
      </c>
      <c r="D26" s="98">
        <v>0.7</v>
      </c>
      <c r="E26" s="127" t="s">
        <v>32</v>
      </c>
      <c r="F26" s="127"/>
    </row>
    <row r="27" spans="2:256">
      <c r="B27" s="90" t="s">
        <v>36</v>
      </c>
      <c r="C27" s="94" t="s">
        <v>37</v>
      </c>
      <c r="D27" s="99">
        <f>F27</f>
        <v>10</v>
      </c>
      <c r="E27" s="127" t="s">
        <v>32</v>
      </c>
      <c r="F27" s="127">
        <v>10</v>
      </c>
    </row>
    <row r="28" spans="2:256">
      <c r="B28" s="92" t="s">
        <v>38</v>
      </c>
      <c r="C28" s="91" t="s">
        <v>37</v>
      </c>
      <c r="D28" s="102">
        <f>IF(((10/D25-0.35)&gt;0),(10-0.35*D25),0)</f>
        <v>8.25</v>
      </c>
      <c r="E28" s="127" t="s">
        <v>32</v>
      </c>
      <c r="F28" s="127"/>
    </row>
    <row r="29" spans="2:256">
      <c r="B29" s="92" t="s">
        <v>39</v>
      </c>
      <c r="C29" s="91" t="s">
        <v>37</v>
      </c>
      <c r="D29" s="103">
        <f>F29</f>
        <v>10</v>
      </c>
      <c r="E29" s="127"/>
      <c r="F29" s="127">
        <v>10</v>
      </c>
    </row>
    <row r="30" spans="2:256">
      <c r="B30" s="92" t="s">
        <v>40</v>
      </c>
      <c r="C30" s="91" t="s">
        <v>35</v>
      </c>
      <c r="D30" s="103">
        <f>F30</f>
        <v>0.5</v>
      </c>
      <c r="E30" s="127"/>
      <c r="F30" s="127">
        <v>0.5</v>
      </c>
    </row>
    <row r="31" spans="2:256">
      <c r="B31" s="90" t="s">
        <v>41</v>
      </c>
      <c r="C31" s="94" t="s">
        <v>37</v>
      </c>
      <c r="D31" s="100">
        <f>D29*D30/24+D24*D28*D26/24+D23*D21</f>
        <v>64.459583333333327</v>
      </c>
      <c r="E31" s="127"/>
      <c r="F31" s="127"/>
    </row>
    <row r="32" spans="2:256">
      <c r="B32" s="90" t="s">
        <v>42</v>
      </c>
      <c r="C32" s="94" t="s">
        <v>30</v>
      </c>
      <c r="D32" s="104">
        <f>D31/D21</f>
        <v>0.35378476033662642</v>
      </c>
      <c r="E32" s="127"/>
      <c r="F32" s="127"/>
    </row>
    <row r="33" spans="2:7" ht="43.5" customHeight="1">
      <c r="B33" s="129" t="s">
        <v>43</v>
      </c>
      <c r="C33" s="106"/>
      <c r="D33" s="130" t="s">
        <v>135</v>
      </c>
      <c r="E33" s="127"/>
      <c r="F33" s="127"/>
    </row>
    <row r="34" spans="2:7">
      <c r="B34" s="92"/>
      <c r="C34" s="91"/>
      <c r="D34" s="107"/>
      <c r="E34" s="128"/>
      <c r="F34" s="128"/>
    </row>
    <row r="35" spans="2:7">
      <c r="B35" s="92"/>
      <c r="C35" s="91"/>
      <c r="D35" s="107"/>
      <c r="E35" s="128"/>
      <c r="F35" s="128"/>
    </row>
    <row r="36" spans="2:7">
      <c r="B36" s="108" t="s">
        <v>44</v>
      </c>
      <c r="C36" s="109" t="s">
        <v>45</v>
      </c>
      <c r="D36" s="99">
        <f>F36</f>
        <v>30</v>
      </c>
      <c r="E36" s="128"/>
      <c r="F36" s="128">
        <v>30</v>
      </c>
    </row>
    <row r="37" spans="2:7">
      <c r="B37" s="90" t="s">
        <v>44</v>
      </c>
      <c r="C37" s="94" t="s">
        <v>24</v>
      </c>
      <c r="D37" s="101">
        <f>D21*1000*(D36/365)/24</f>
        <v>623.97260273972597</v>
      </c>
      <c r="E37" s="127"/>
      <c r="F37" s="127"/>
    </row>
    <row r="38" spans="2:7" ht="24">
      <c r="B38" s="105" t="s">
        <v>46</v>
      </c>
      <c r="C38" s="94"/>
      <c r="D38" s="99" t="s">
        <v>47</v>
      </c>
      <c r="E38" s="127" t="s">
        <v>48</v>
      </c>
      <c r="F38" s="127"/>
    </row>
    <row r="39" spans="2:7">
      <c r="B39" s="90" t="s">
        <v>49</v>
      </c>
      <c r="C39" s="110"/>
      <c r="D39" s="111" t="s">
        <v>50</v>
      </c>
      <c r="E39" s="127"/>
      <c r="F39" s="127">
        <v>50</v>
      </c>
    </row>
    <row r="40" spans="2:7" ht="20.5" customHeight="1">
      <c r="B40" s="90" t="s">
        <v>51</v>
      </c>
      <c r="C40" s="110" t="s">
        <v>52</v>
      </c>
      <c r="D40" s="112">
        <f>IF(D39="Ja",71,50)</f>
        <v>50</v>
      </c>
      <c r="E40" s="127"/>
      <c r="F40" s="127">
        <v>0.5</v>
      </c>
    </row>
    <row r="41" spans="2:7" ht="16.25" customHeight="1">
      <c r="B41" s="126" t="s">
        <v>132</v>
      </c>
      <c r="C41" s="110" t="s">
        <v>133</v>
      </c>
      <c r="D41" s="112">
        <v>0.6</v>
      </c>
      <c r="E41" s="127" t="s">
        <v>134</v>
      </c>
      <c r="F41" s="127"/>
    </row>
    <row r="42" spans="2:7" ht="16.25" customHeight="1">
      <c r="B42" s="10"/>
      <c r="C42" s="11"/>
      <c r="D42" s="10"/>
      <c r="E42" s="127"/>
      <c r="F42" s="127"/>
    </row>
    <row r="43" spans="2:7" ht="90.5" customHeight="1">
      <c r="B43" s="148"/>
    </row>
    <row r="45" spans="2:7">
      <c r="D45" s="89"/>
      <c r="G45" s="89"/>
    </row>
    <row r="46" spans="2:7">
      <c r="D46" s="89"/>
      <c r="G46" s="89"/>
    </row>
    <row r="47" spans="2:7">
      <c r="D47" s="89"/>
      <c r="G47" s="89"/>
    </row>
    <row r="48" spans="2:7">
      <c r="D48" s="89"/>
      <c r="G48" s="89"/>
    </row>
    <row r="49" spans="2:7">
      <c r="D49" s="89"/>
      <c r="G49" s="89"/>
    </row>
    <row r="50" spans="2:7" hidden="1">
      <c r="B50" s="41" t="s">
        <v>205</v>
      </c>
      <c r="G50" s="89"/>
    </row>
    <row r="51" spans="2:7" hidden="1">
      <c r="B51" s="41" t="s">
        <v>623</v>
      </c>
    </row>
    <row r="52" spans="2:7" hidden="1">
      <c r="B52" s="41" t="s">
        <v>622</v>
      </c>
    </row>
    <row r="53" spans="2:7" hidden="1">
      <c r="B53" s="41" t="s">
        <v>68</v>
      </c>
    </row>
  </sheetData>
  <sheetProtection selectLockedCells="1" selectUnlockedCells="1"/>
  <mergeCells count="1">
    <mergeCell ref="B6:C6"/>
  </mergeCells>
  <phoneticPr fontId="15" type="noConversion"/>
  <dataValidations xWindow="896" yWindow="266" count="7">
    <dataValidation type="list" operator="equal" showInputMessage="1" showErrorMessage="1" promptTitle="Äldreboende" prompt="Gäller endast flerbostadshus" sqref="D8">
      <formula1>"ja,nej"</formula1>
      <formula2>0</formula2>
    </dataValidation>
    <dataValidation operator="equal" allowBlank="1" showInputMessage="1" showErrorMessage="1" promptTitle="Ben1 data" prompt="Värden att använda i EnergyCalc" sqref="D9 D32 D20">
      <formula1>0</formula1>
      <formula2>0</formula2>
    </dataValidation>
    <dataValidation type="whole" allowBlank="1" showInputMessage="1" showErrorMessage="1" prompt="Ange hur många lägenheter det finns av varje typ." sqref="D11:D15">
      <formula1>0</formula1>
      <formula2>1000</formula2>
    </dataValidation>
    <dataValidation operator="equal" allowBlank="1" showInputMessage="1" showErrorMessage="1" promptTitle="Ben1 data" prompt="Värden att använda i EnergyCalc_x000a_Mata in under apparatur" sqref="D36:D37">
      <formula1>0</formula1>
      <formula2>0</formula2>
    </dataValidation>
    <dataValidation type="list" operator="equal" allowBlank="1" showErrorMessage="1" sqref="D39">
      <formula1>"Ja,Nej"</formula1>
      <formula2>0</formula2>
    </dataValidation>
    <dataValidation allowBlank="1" showInputMessage="1" showErrorMessage="1" promptTitle="Instruktion" prompt="Fyll i indata på denna sida eller under fliken indata Lokaler_x000a_Beräkna i EnergyCalc och skriv ut beräkningen_x000a__x000d_Fyll i värden under Energibalans -Proj fliken_x000a__x000d_Fyll i värden under Diagram fliken_x000a__x000d_Skriv ut valda delar av arbetsboken" sqref="D6"/>
    <dataValidation type="list" operator="equal" allowBlank="1" showInputMessage="1" showErrorMessage="1" promptTitle="Bostadstyp" prompt="Välj bostadstyp i byggnaden._x000a_För små bostäder i flerbostadshus gäller att _x000a_merparten av A-temp ska  innehålla lägenheter mindre än 35 m2 boarea vardera." sqref="D7">
      <formula1>$B$50:$B$53</formula1>
    </dataValidation>
  </dataValidations>
  <pageMargins left="0.56180555555555556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/>
  <dimension ref="A3:X355"/>
  <sheetViews>
    <sheetView showRuler="0" topLeftCell="A55" zoomScale="125" zoomScaleNormal="125" zoomScalePageLayoutView="125" workbookViewId="0">
      <selection activeCell="A76" sqref="A76"/>
    </sheetView>
  </sheetViews>
  <sheetFormatPr baseColWidth="10" defaultColWidth="11.5" defaultRowHeight="12" x14ac:dyDescent="0"/>
  <cols>
    <col min="1" max="1" width="16.83203125" customWidth="1"/>
    <col min="2" max="2" width="20.6640625" customWidth="1"/>
    <col min="7" max="7" width="17" customWidth="1"/>
    <col min="12" max="12" width="16.1640625" customWidth="1"/>
    <col min="13" max="13" width="11.6640625" customWidth="1"/>
    <col min="15" max="15" width="11.6640625" customWidth="1"/>
    <col min="16" max="16" width="14.6640625" customWidth="1"/>
    <col min="19" max="19" width="13.33203125" customWidth="1"/>
    <col min="20" max="20" width="14.6640625" customWidth="1"/>
    <col min="21" max="21" width="13.5" customWidth="1"/>
    <col min="22" max="22" width="15.83203125" customWidth="1"/>
  </cols>
  <sheetData>
    <row r="3" spans="2:24">
      <c r="B3" s="41" t="s">
        <v>252</v>
      </c>
      <c r="C3" s="41"/>
      <c r="D3" s="41" t="s">
        <v>208</v>
      </c>
      <c r="E3" s="180" t="s">
        <v>209</v>
      </c>
      <c r="F3" s="180" t="s">
        <v>210</v>
      </c>
      <c r="G3" s="41" t="s">
        <v>211</v>
      </c>
      <c r="H3" s="41" t="s">
        <v>212</v>
      </c>
      <c r="I3" s="41" t="s">
        <v>213</v>
      </c>
      <c r="J3" s="41" t="s">
        <v>214</v>
      </c>
      <c r="K3" s="41" t="s">
        <v>116</v>
      </c>
      <c r="L3" s="41" t="s">
        <v>215</v>
      </c>
      <c r="M3" s="41" t="s">
        <v>216</v>
      </c>
      <c r="N3" s="41" t="s">
        <v>217</v>
      </c>
      <c r="O3" s="41" t="s">
        <v>218</v>
      </c>
      <c r="P3" s="41" t="s">
        <v>219</v>
      </c>
      <c r="Q3" s="41" t="s">
        <v>108</v>
      </c>
      <c r="R3" s="41" t="s">
        <v>220</v>
      </c>
      <c r="S3" s="41" t="s">
        <v>221</v>
      </c>
      <c r="T3" s="41" t="s">
        <v>222</v>
      </c>
      <c r="U3" s="41" t="s">
        <v>223</v>
      </c>
      <c r="V3" s="41" t="s">
        <v>224</v>
      </c>
      <c r="W3" s="41" t="s">
        <v>110</v>
      </c>
      <c r="X3" s="41" t="s">
        <v>225</v>
      </c>
    </row>
    <row r="4" spans="2:24">
      <c r="B4" s="41" t="s">
        <v>208</v>
      </c>
      <c r="C4" s="63"/>
      <c r="D4" s="188" t="s">
        <v>485</v>
      </c>
      <c r="E4" s="67" t="s">
        <v>226</v>
      </c>
      <c r="F4" s="188" t="s">
        <v>480</v>
      </c>
      <c r="G4" s="67" t="s">
        <v>242</v>
      </c>
      <c r="H4" s="188" t="s">
        <v>467</v>
      </c>
      <c r="I4" s="41" t="s">
        <v>255</v>
      </c>
      <c r="J4" s="41" t="s">
        <v>263</v>
      </c>
      <c r="K4" s="41" t="s">
        <v>275</v>
      </c>
      <c r="L4" s="191" t="s">
        <v>461</v>
      </c>
      <c r="M4" s="41" t="s">
        <v>286</v>
      </c>
      <c r="N4" s="41" t="s">
        <v>297</v>
      </c>
      <c r="O4" s="188" t="s">
        <v>460</v>
      </c>
      <c r="P4" s="188" t="s">
        <v>466</v>
      </c>
      <c r="Q4" s="41" t="s">
        <v>331</v>
      </c>
      <c r="R4" s="41" t="s">
        <v>338</v>
      </c>
      <c r="S4" s="41" t="s">
        <v>504</v>
      </c>
      <c r="T4" s="41" t="s">
        <v>365</v>
      </c>
      <c r="U4" s="41" t="s">
        <v>372</v>
      </c>
      <c r="V4" s="41" t="s">
        <v>381</v>
      </c>
      <c r="W4" s="41" t="s">
        <v>475</v>
      </c>
      <c r="X4" s="188" t="s">
        <v>469</v>
      </c>
    </row>
    <row r="5" spans="2:24">
      <c r="B5" s="41" t="s">
        <v>209</v>
      </c>
      <c r="D5" s="188" t="s">
        <v>486</v>
      </c>
      <c r="E5" s="67" t="s">
        <v>227</v>
      </c>
      <c r="F5" s="188" t="s">
        <v>114</v>
      </c>
      <c r="G5" s="67" t="s">
        <v>243</v>
      </c>
      <c r="H5" s="188" t="s">
        <v>476</v>
      </c>
      <c r="I5" s="41" t="s">
        <v>256</v>
      </c>
      <c r="J5" s="41" t="s">
        <v>264</v>
      </c>
      <c r="K5" s="41" t="s">
        <v>276</v>
      </c>
      <c r="L5" s="191" t="s">
        <v>494</v>
      </c>
      <c r="M5" s="41" t="s">
        <v>287</v>
      </c>
      <c r="N5" s="41" t="s">
        <v>298</v>
      </c>
      <c r="O5" s="188" t="s">
        <v>462</v>
      </c>
      <c r="P5" s="188" t="s">
        <v>470</v>
      </c>
      <c r="Q5" s="41" t="s">
        <v>332</v>
      </c>
      <c r="R5" s="41" t="s">
        <v>339</v>
      </c>
      <c r="S5" s="41" t="s">
        <v>353</v>
      </c>
      <c r="T5" s="41" t="s">
        <v>366</v>
      </c>
      <c r="U5" s="41" t="s">
        <v>373</v>
      </c>
      <c r="V5" s="41" t="s">
        <v>382</v>
      </c>
      <c r="W5" s="41" t="s">
        <v>426</v>
      </c>
      <c r="X5" s="188" t="s">
        <v>488</v>
      </c>
    </row>
    <row r="6" spans="2:24">
      <c r="B6" s="41" t="s">
        <v>210</v>
      </c>
      <c r="D6" s="188" t="s">
        <v>509</v>
      </c>
      <c r="E6" s="67" t="s">
        <v>228</v>
      </c>
      <c r="F6" s="67"/>
      <c r="G6" s="67" t="s">
        <v>244</v>
      </c>
      <c r="H6" s="188" t="s">
        <v>493</v>
      </c>
      <c r="I6" s="41" t="s">
        <v>257</v>
      </c>
      <c r="J6" s="41" t="s">
        <v>265</v>
      </c>
      <c r="K6" s="41" t="s">
        <v>116</v>
      </c>
      <c r="L6" s="191" t="s">
        <v>497</v>
      </c>
      <c r="M6" s="41" t="s">
        <v>478</v>
      </c>
      <c r="N6" s="41" t="s">
        <v>299</v>
      </c>
      <c r="O6" s="188" t="s">
        <v>463</v>
      </c>
      <c r="P6" s="188" t="s">
        <v>473</v>
      </c>
      <c r="Q6" s="41" t="s">
        <v>333</v>
      </c>
      <c r="R6" s="41" t="s">
        <v>340</v>
      </c>
      <c r="S6" s="41" t="s">
        <v>354</v>
      </c>
      <c r="T6" s="41" t="s">
        <v>367</v>
      </c>
      <c r="U6" s="41" t="s">
        <v>491</v>
      </c>
      <c r="V6" s="41" t="s">
        <v>383</v>
      </c>
      <c r="W6" s="41" t="s">
        <v>427</v>
      </c>
      <c r="X6" s="188" t="s">
        <v>496</v>
      </c>
    </row>
    <row r="7" spans="2:24">
      <c r="B7" s="41" t="s">
        <v>211</v>
      </c>
      <c r="D7" s="188" t="s">
        <v>512</v>
      </c>
      <c r="E7" s="67" t="s">
        <v>229</v>
      </c>
      <c r="F7" s="67"/>
      <c r="G7" s="67" t="s">
        <v>245</v>
      </c>
      <c r="H7" s="188" t="s">
        <v>532</v>
      </c>
      <c r="I7" s="41" t="s">
        <v>258</v>
      </c>
      <c r="J7" s="41" t="s">
        <v>266</v>
      </c>
      <c r="K7" s="41" t="s">
        <v>277</v>
      </c>
      <c r="L7" s="191" t="s">
        <v>499</v>
      </c>
      <c r="M7" s="41" t="s">
        <v>288</v>
      </c>
      <c r="N7" s="41" t="s">
        <v>300</v>
      </c>
      <c r="O7" s="188" t="s">
        <v>477</v>
      </c>
      <c r="P7" s="188" t="s">
        <v>487</v>
      </c>
      <c r="Q7" s="41" t="s">
        <v>108</v>
      </c>
      <c r="R7" s="41" t="s">
        <v>341</v>
      </c>
      <c r="S7" s="41" t="s">
        <v>355</v>
      </c>
      <c r="T7" s="41" t="s">
        <v>368</v>
      </c>
      <c r="U7" s="41" t="s">
        <v>374</v>
      </c>
      <c r="V7" s="41" t="s">
        <v>384</v>
      </c>
      <c r="W7" s="41" t="s">
        <v>428</v>
      </c>
      <c r="X7" s="188" t="s">
        <v>500</v>
      </c>
    </row>
    <row r="8" spans="2:24">
      <c r="B8" s="41" t="s">
        <v>212</v>
      </c>
      <c r="D8" s="188" t="s">
        <v>524</v>
      </c>
      <c r="E8" s="67" t="s">
        <v>107</v>
      </c>
      <c r="F8" s="67"/>
      <c r="G8" s="67" t="s">
        <v>246</v>
      </c>
      <c r="H8" s="188" t="s">
        <v>490</v>
      </c>
      <c r="I8" s="41" t="s">
        <v>259</v>
      </c>
      <c r="J8" s="41" t="s">
        <v>214</v>
      </c>
      <c r="K8" s="41" t="s">
        <v>278</v>
      </c>
      <c r="L8" s="191" t="s">
        <v>525</v>
      </c>
      <c r="M8" s="41" t="s">
        <v>103</v>
      </c>
      <c r="N8" s="41" t="s">
        <v>301</v>
      </c>
      <c r="O8" s="188" t="s">
        <v>481</v>
      </c>
      <c r="P8" s="188" t="s">
        <v>507</v>
      </c>
      <c r="Q8" s="41" t="s">
        <v>334</v>
      </c>
      <c r="R8" s="41" t="s">
        <v>343</v>
      </c>
      <c r="S8" s="41" t="s">
        <v>356</v>
      </c>
      <c r="T8" s="41" t="s">
        <v>369</v>
      </c>
      <c r="U8" s="41" t="s">
        <v>375</v>
      </c>
      <c r="V8" s="41" t="s">
        <v>385</v>
      </c>
      <c r="W8" s="41" t="s">
        <v>110</v>
      </c>
      <c r="X8" s="188" t="s">
        <v>501</v>
      </c>
    </row>
    <row r="9" spans="2:24">
      <c r="B9" s="41" t="s">
        <v>213</v>
      </c>
      <c r="D9" s="191"/>
      <c r="E9" s="67" t="s">
        <v>230</v>
      </c>
      <c r="F9" s="67"/>
      <c r="G9" s="67" t="s">
        <v>247</v>
      </c>
      <c r="H9" s="188" t="s">
        <v>538</v>
      </c>
      <c r="I9" s="41" t="s">
        <v>260</v>
      </c>
      <c r="J9" s="41" t="s">
        <v>267</v>
      </c>
      <c r="K9" s="41" t="s">
        <v>279</v>
      </c>
      <c r="L9" s="191" t="s">
        <v>547</v>
      </c>
      <c r="M9" s="41" t="s">
        <v>289</v>
      </c>
      <c r="N9" s="41" t="s">
        <v>302</v>
      </c>
      <c r="O9" s="188" t="s">
        <v>483</v>
      </c>
      <c r="P9" s="188" t="s">
        <v>518</v>
      </c>
      <c r="Q9" s="41" t="s">
        <v>335</v>
      </c>
      <c r="R9" s="41" t="s">
        <v>342</v>
      </c>
      <c r="S9" s="41" t="s">
        <v>357</v>
      </c>
      <c r="T9" s="41" t="s">
        <v>370</v>
      </c>
      <c r="U9" s="41" t="s">
        <v>376</v>
      </c>
      <c r="V9" s="41" t="s">
        <v>386</v>
      </c>
      <c r="W9" s="41" t="s">
        <v>429</v>
      </c>
      <c r="X9" s="188" t="s">
        <v>498</v>
      </c>
    </row>
    <row r="10" spans="2:24">
      <c r="B10" s="41" t="s">
        <v>214</v>
      </c>
      <c r="D10" s="191"/>
      <c r="E10" s="67" t="s">
        <v>231</v>
      </c>
      <c r="F10" s="67"/>
      <c r="G10" s="67" t="s">
        <v>248</v>
      </c>
      <c r="H10" t="s">
        <v>253</v>
      </c>
      <c r="I10" s="41" t="s">
        <v>261</v>
      </c>
      <c r="J10" s="41" t="s">
        <v>268</v>
      </c>
      <c r="K10" s="41" t="s">
        <v>280</v>
      </c>
      <c r="L10" s="191" t="s">
        <v>115</v>
      </c>
      <c r="M10" s="41" t="s">
        <v>290</v>
      </c>
      <c r="N10" s="41" t="s">
        <v>303</v>
      </c>
      <c r="O10" s="188" t="s">
        <v>495</v>
      </c>
      <c r="P10" s="188" t="s">
        <v>527</v>
      </c>
      <c r="Q10" s="41" t="s">
        <v>336</v>
      </c>
      <c r="R10" s="41" t="s">
        <v>344</v>
      </c>
      <c r="S10" s="41" t="s">
        <v>358</v>
      </c>
      <c r="T10" s="41" t="s">
        <v>371</v>
      </c>
      <c r="U10" s="41" t="s">
        <v>377</v>
      </c>
      <c r="V10" s="41" t="s">
        <v>387</v>
      </c>
      <c r="W10" s="41" t="s">
        <v>430</v>
      </c>
      <c r="X10" s="188" t="s">
        <v>112</v>
      </c>
    </row>
    <row r="11" spans="2:24">
      <c r="B11" s="41" t="s">
        <v>116</v>
      </c>
      <c r="E11" s="67" t="s">
        <v>232</v>
      </c>
      <c r="F11" s="67"/>
      <c r="G11" s="67" t="s">
        <v>249</v>
      </c>
      <c r="I11" s="41" t="s">
        <v>262</v>
      </c>
      <c r="J11" s="41" t="s">
        <v>269</v>
      </c>
      <c r="K11" s="41" t="s">
        <v>281</v>
      </c>
      <c r="M11" s="41" t="s">
        <v>291</v>
      </c>
      <c r="N11" s="41" t="s">
        <v>304</v>
      </c>
      <c r="O11" s="188" t="s">
        <v>502</v>
      </c>
      <c r="P11" s="188" t="s">
        <v>541</v>
      </c>
      <c r="Q11" s="41" t="s">
        <v>337</v>
      </c>
      <c r="R11" s="41" t="s">
        <v>111</v>
      </c>
      <c r="S11" s="41" t="s">
        <v>104</v>
      </c>
      <c r="U11" s="41" t="s">
        <v>378</v>
      </c>
      <c r="V11" s="41" t="s">
        <v>388</v>
      </c>
      <c r="W11" s="41" t="s">
        <v>431</v>
      </c>
      <c r="X11" s="188" t="s">
        <v>523</v>
      </c>
    </row>
    <row r="12" spans="2:24">
      <c r="B12" s="41" t="s">
        <v>215</v>
      </c>
      <c r="E12" s="67" t="s">
        <v>233</v>
      </c>
      <c r="F12" s="67"/>
      <c r="G12" s="67" t="s">
        <v>250</v>
      </c>
      <c r="J12" s="41" t="s">
        <v>270</v>
      </c>
      <c r="K12" s="41" t="s">
        <v>282</v>
      </c>
      <c r="M12" s="41" t="s">
        <v>292</v>
      </c>
      <c r="N12" s="41" t="s">
        <v>305</v>
      </c>
      <c r="O12" s="188" t="s">
        <v>503</v>
      </c>
      <c r="R12" s="41" t="s">
        <v>345</v>
      </c>
      <c r="S12" s="41" t="s">
        <v>359</v>
      </c>
      <c r="U12" s="41" t="s">
        <v>379</v>
      </c>
      <c r="V12" s="41" t="s">
        <v>389</v>
      </c>
      <c r="W12" s="41" t="s">
        <v>432</v>
      </c>
      <c r="X12" s="188" t="s">
        <v>535</v>
      </c>
    </row>
    <row r="13" spans="2:24">
      <c r="B13" s="41" t="s">
        <v>216</v>
      </c>
      <c r="E13" s="67" t="s">
        <v>234</v>
      </c>
      <c r="F13" s="67"/>
      <c r="G13" s="67" t="s">
        <v>251</v>
      </c>
      <c r="J13" s="41" t="s">
        <v>271</v>
      </c>
      <c r="K13" s="41" t="s">
        <v>283</v>
      </c>
      <c r="M13" s="41" t="s">
        <v>293</v>
      </c>
      <c r="N13" s="41" t="s">
        <v>306</v>
      </c>
      <c r="O13" s="188" t="s">
        <v>505</v>
      </c>
      <c r="P13" s="41"/>
      <c r="R13" s="41" t="s">
        <v>346</v>
      </c>
      <c r="S13" s="41" t="s">
        <v>360</v>
      </c>
      <c r="U13" s="41" t="s">
        <v>380</v>
      </c>
      <c r="V13" s="41" t="s">
        <v>390</v>
      </c>
      <c r="W13" s="41" t="s">
        <v>433</v>
      </c>
      <c r="X13" s="188" t="s">
        <v>536</v>
      </c>
    </row>
    <row r="14" spans="2:24">
      <c r="B14" s="41" t="s">
        <v>217</v>
      </c>
      <c r="E14" s="67" t="s">
        <v>235</v>
      </c>
      <c r="F14" s="67"/>
      <c r="J14" s="41" t="s">
        <v>272</v>
      </c>
      <c r="K14" s="41" t="s">
        <v>284</v>
      </c>
      <c r="M14" s="41" t="s">
        <v>294</v>
      </c>
      <c r="N14" s="41" t="s">
        <v>307</v>
      </c>
      <c r="O14" s="188" t="s">
        <v>506</v>
      </c>
      <c r="R14" s="41" t="s">
        <v>347</v>
      </c>
      <c r="S14" s="41" t="s">
        <v>361</v>
      </c>
      <c r="V14" s="41" t="s">
        <v>391</v>
      </c>
      <c r="W14" s="41" t="s">
        <v>434</v>
      </c>
      <c r="X14" s="188" t="s">
        <v>544</v>
      </c>
    </row>
    <row r="15" spans="2:24">
      <c r="B15" s="41" t="s">
        <v>218</v>
      </c>
      <c r="E15" s="67" t="s">
        <v>236</v>
      </c>
      <c r="F15" s="67"/>
      <c r="J15" s="41" t="s">
        <v>273</v>
      </c>
      <c r="K15" s="41" t="s">
        <v>285</v>
      </c>
      <c r="M15" s="41" t="s">
        <v>102</v>
      </c>
      <c r="N15" s="41" t="s">
        <v>308</v>
      </c>
      <c r="O15" s="188" t="s">
        <v>508</v>
      </c>
      <c r="R15" s="41" t="s">
        <v>348</v>
      </c>
      <c r="S15" s="41" t="s">
        <v>362</v>
      </c>
      <c r="V15" s="41" t="s">
        <v>392</v>
      </c>
      <c r="W15" s="41" t="s">
        <v>435</v>
      </c>
      <c r="X15" s="188" t="s">
        <v>546</v>
      </c>
    </row>
    <row r="16" spans="2:24">
      <c r="B16" s="41" t="s">
        <v>219</v>
      </c>
      <c r="E16" s="67" t="s">
        <v>237</v>
      </c>
      <c r="F16" s="67"/>
      <c r="J16" s="41" t="s">
        <v>274</v>
      </c>
      <c r="M16" s="41" t="s">
        <v>295</v>
      </c>
      <c r="N16" s="41" t="s">
        <v>309</v>
      </c>
      <c r="O16" s="188" t="s">
        <v>513</v>
      </c>
      <c r="R16" s="41" t="s">
        <v>349</v>
      </c>
      <c r="S16" s="41" t="s">
        <v>540</v>
      </c>
      <c r="V16" s="41" t="s">
        <v>526</v>
      </c>
      <c r="X16" s="188" t="s">
        <v>549</v>
      </c>
    </row>
    <row r="17" spans="1:22">
      <c r="B17" s="41" t="s">
        <v>108</v>
      </c>
      <c r="E17" s="67" t="s">
        <v>238</v>
      </c>
      <c r="F17" s="67"/>
      <c r="M17" s="41" t="s">
        <v>296</v>
      </c>
      <c r="N17" s="41" t="s">
        <v>310</v>
      </c>
      <c r="O17" s="188" t="s">
        <v>514</v>
      </c>
      <c r="R17" s="41" t="s">
        <v>350</v>
      </c>
      <c r="S17" s="41" t="s">
        <v>363</v>
      </c>
      <c r="V17" s="41" t="s">
        <v>393</v>
      </c>
    </row>
    <row r="18" spans="1:22">
      <c r="B18" s="41" t="s">
        <v>220</v>
      </c>
      <c r="E18" s="67" t="s">
        <v>521</v>
      </c>
      <c r="F18" s="67"/>
      <c r="M18" s="41"/>
      <c r="N18" s="41" t="s">
        <v>311</v>
      </c>
      <c r="O18" s="188" t="s">
        <v>515</v>
      </c>
      <c r="R18" s="41" t="s">
        <v>351</v>
      </c>
      <c r="S18" s="41" t="s">
        <v>364</v>
      </c>
      <c r="V18" s="41" t="s">
        <v>394</v>
      </c>
    </row>
    <row r="19" spans="1:22">
      <c r="B19" s="41" t="s">
        <v>221</v>
      </c>
      <c r="C19" s="41"/>
      <c r="E19" s="67" t="s">
        <v>239</v>
      </c>
      <c r="G19" s="42"/>
      <c r="M19" s="41"/>
      <c r="N19" s="41" t="s">
        <v>312</v>
      </c>
      <c r="O19" s="188" t="s">
        <v>516</v>
      </c>
      <c r="R19" s="41" t="s">
        <v>352</v>
      </c>
      <c r="V19" s="41" t="s">
        <v>395</v>
      </c>
    </row>
    <row r="20" spans="1:22">
      <c r="B20" s="41" t="s">
        <v>222</v>
      </c>
      <c r="C20" s="41"/>
      <c r="M20" s="41"/>
      <c r="N20" s="41" t="s">
        <v>313</v>
      </c>
      <c r="O20" s="188" t="s">
        <v>218</v>
      </c>
      <c r="V20" s="41" t="s">
        <v>396</v>
      </c>
    </row>
    <row r="21" spans="1:22">
      <c r="B21" s="41" t="s">
        <v>223</v>
      </c>
      <c r="C21" s="41"/>
      <c r="M21" s="41"/>
      <c r="N21" s="41" t="s">
        <v>117</v>
      </c>
      <c r="O21" s="188" t="s">
        <v>53</v>
      </c>
      <c r="V21" s="41" t="s">
        <v>397</v>
      </c>
    </row>
    <row r="22" spans="1:22">
      <c r="B22" s="41" t="s">
        <v>438</v>
      </c>
      <c r="C22" s="41"/>
      <c r="M22" s="41"/>
      <c r="N22" s="41" t="s">
        <v>314</v>
      </c>
      <c r="O22" s="188" t="s">
        <v>519</v>
      </c>
      <c r="V22" s="41" t="s">
        <v>398</v>
      </c>
    </row>
    <row r="23" spans="1:22">
      <c r="B23" s="41" t="s">
        <v>110</v>
      </c>
      <c r="C23" s="41"/>
      <c r="M23" s="41"/>
      <c r="N23" s="41" t="s">
        <v>315</v>
      </c>
      <c r="O23" s="188" t="s">
        <v>109</v>
      </c>
      <c r="V23" s="41" t="s">
        <v>399</v>
      </c>
    </row>
    <row r="24" spans="1:22">
      <c r="B24" s="41" t="s">
        <v>225</v>
      </c>
      <c r="C24" s="41"/>
      <c r="D24" s="41"/>
      <c r="F24" s="41"/>
      <c r="M24" s="41"/>
      <c r="N24" s="41" t="s">
        <v>316</v>
      </c>
      <c r="O24" s="188" t="s">
        <v>528</v>
      </c>
      <c r="V24" s="41" t="s">
        <v>556</v>
      </c>
    </row>
    <row r="25" spans="1:22">
      <c r="B25" s="41"/>
      <c r="C25" s="41"/>
      <c r="D25" s="41"/>
      <c r="E25" s="41"/>
      <c r="F25" s="41"/>
      <c r="M25" s="41"/>
      <c r="N25" s="41" t="s">
        <v>317</v>
      </c>
      <c r="O25" s="188" t="s">
        <v>529</v>
      </c>
      <c r="V25" s="41" t="s">
        <v>400</v>
      </c>
    </row>
    <row r="26" spans="1:22">
      <c r="B26" s="41"/>
      <c r="C26" s="41"/>
      <c r="D26" s="41"/>
      <c r="E26" s="41"/>
      <c r="F26" s="41"/>
      <c r="M26" s="41"/>
      <c r="N26" s="41" t="s">
        <v>318</v>
      </c>
      <c r="O26" s="188" t="s">
        <v>533</v>
      </c>
      <c r="V26" s="41" t="s">
        <v>401</v>
      </c>
    </row>
    <row r="27" spans="1:22">
      <c r="A27" s="41"/>
      <c r="B27" s="41"/>
      <c r="C27" s="41"/>
      <c r="D27" s="41"/>
      <c r="E27" s="41"/>
      <c r="F27" s="41"/>
      <c r="M27" s="41"/>
      <c r="N27" s="41" t="s">
        <v>319</v>
      </c>
      <c r="O27" s="188" t="s">
        <v>534</v>
      </c>
      <c r="V27" s="41" t="s">
        <v>402</v>
      </c>
    </row>
    <row r="28" spans="1:22">
      <c r="A28" s="41"/>
      <c r="B28" s="41"/>
      <c r="C28" s="41"/>
      <c r="D28" s="41"/>
      <c r="E28" s="41"/>
      <c r="F28" s="41"/>
      <c r="M28" s="41"/>
      <c r="N28" s="41" t="s">
        <v>320</v>
      </c>
      <c r="O28" s="188" t="s">
        <v>537</v>
      </c>
      <c r="V28" s="41" t="s">
        <v>403</v>
      </c>
    </row>
    <row r="29" spans="1:22">
      <c r="A29" s="41"/>
      <c r="B29" s="41"/>
      <c r="C29" s="41"/>
      <c r="D29" s="41"/>
      <c r="E29" s="41"/>
      <c r="F29" s="41"/>
      <c r="M29" s="41"/>
      <c r="N29" s="41" t="s">
        <v>321</v>
      </c>
      <c r="O29" s="188" t="s">
        <v>539</v>
      </c>
      <c r="V29" s="41" t="s">
        <v>404</v>
      </c>
    </row>
    <row r="30" spans="1:22">
      <c r="B30" s="41" t="s">
        <v>118</v>
      </c>
      <c r="C30" s="41" t="str">
        <f>'Energibalansrapport proj'!D5</f>
        <v>Stockholm</v>
      </c>
      <c r="D30" s="41"/>
      <c r="E30" s="41"/>
      <c r="F30" s="41"/>
      <c r="G30" s="42"/>
      <c r="M30" s="41"/>
      <c r="N30" s="41" t="s">
        <v>322</v>
      </c>
      <c r="O30" s="188" t="s">
        <v>543</v>
      </c>
      <c r="V30" s="41" t="s">
        <v>405</v>
      </c>
    </row>
    <row r="31" spans="1:22">
      <c r="A31" s="41"/>
      <c r="B31" s="41" t="s">
        <v>571</v>
      </c>
      <c r="C31" s="41" t="str">
        <f>'Energibalansrapport proj'!D6</f>
        <v>Stockholm</v>
      </c>
      <c r="D31" s="41"/>
      <c r="E31" s="41"/>
      <c r="F31" s="41"/>
      <c r="G31" s="42"/>
      <c r="M31" s="41"/>
      <c r="N31" s="41" t="s">
        <v>323</v>
      </c>
      <c r="O31" s="188" t="s">
        <v>550</v>
      </c>
      <c r="V31" s="41" t="s">
        <v>406</v>
      </c>
    </row>
    <row r="32" spans="1:22">
      <c r="A32" s="41"/>
      <c r="B32" s="41" t="s">
        <v>240</v>
      </c>
      <c r="C32" s="41">
        <f>VLOOKUP(C31,FgeoVlookup,2,FALSE)</f>
        <v>1</v>
      </c>
      <c r="D32" s="41"/>
      <c r="E32" s="41"/>
      <c r="F32" s="41"/>
      <c r="G32" s="42"/>
      <c r="M32" s="41"/>
      <c r="N32" s="41" t="s">
        <v>324</v>
      </c>
      <c r="O32" s="41"/>
      <c r="V32" s="41" t="s">
        <v>407</v>
      </c>
    </row>
    <row r="33" spans="1:22">
      <c r="A33" s="41"/>
      <c r="B33" s="41"/>
      <c r="D33" s="41"/>
      <c r="E33" s="41"/>
      <c r="F33" s="41"/>
      <c r="M33" s="41"/>
      <c r="N33" s="41" t="s">
        <v>548</v>
      </c>
      <c r="O33" s="41"/>
      <c r="V33" s="41" t="s">
        <v>408</v>
      </c>
    </row>
    <row r="34" spans="1:22" ht="14">
      <c r="E34" s="41"/>
      <c r="N34" s="192" t="s">
        <v>325</v>
      </c>
      <c r="V34" s="41" t="s">
        <v>409</v>
      </c>
    </row>
    <row r="35" spans="1:22">
      <c r="N35" s="41" t="s">
        <v>326</v>
      </c>
      <c r="O35" s="41"/>
      <c r="V35" s="41" t="s">
        <v>410</v>
      </c>
    </row>
    <row r="36" spans="1:22">
      <c r="A36" s="41"/>
      <c r="B36" s="41"/>
      <c r="D36" s="41"/>
      <c r="F36" s="41"/>
      <c r="M36" s="41"/>
      <c r="N36" s="41" t="s">
        <v>327</v>
      </c>
      <c r="O36" s="41"/>
      <c r="V36" s="41" t="s">
        <v>411</v>
      </c>
    </row>
    <row r="37" spans="1:22">
      <c r="A37" s="41"/>
      <c r="D37" s="41"/>
      <c r="E37" s="41"/>
      <c r="F37" s="41"/>
      <c r="M37" s="41"/>
      <c r="N37" s="41"/>
      <c r="O37" s="41"/>
      <c r="V37" s="41" t="s">
        <v>412</v>
      </c>
    </row>
    <row r="38" spans="1:22">
      <c r="A38" s="41"/>
      <c r="E38" s="41"/>
      <c r="M38" s="41"/>
      <c r="N38" s="41"/>
      <c r="O38" s="41"/>
      <c r="V38" s="41" t="s">
        <v>413</v>
      </c>
    </row>
    <row r="39" spans="1:22">
      <c r="A39" s="41"/>
      <c r="M39" s="41"/>
      <c r="N39" s="41"/>
      <c r="O39" s="41"/>
      <c r="V39" s="41" t="s">
        <v>414</v>
      </c>
    </row>
    <row r="40" spans="1:22">
      <c r="A40" s="41"/>
      <c r="M40" s="41"/>
      <c r="N40" s="41"/>
      <c r="O40" s="41"/>
      <c r="V40" s="41" t="s">
        <v>415</v>
      </c>
    </row>
    <row r="41" spans="1:22" ht="14">
      <c r="A41" s="41" t="s">
        <v>592</v>
      </c>
      <c r="B41" s="41" t="s">
        <v>591</v>
      </c>
      <c r="C41" s="179" t="s">
        <v>590</v>
      </c>
      <c r="D41" s="179" t="s">
        <v>445</v>
      </c>
      <c r="F41" s="179" t="s">
        <v>447</v>
      </c>
      <c r="G41" s="179" t="s">
        <v>448</v>
      </c>
      <c r="H41" s="179" t="s">
        <v>449</v>
      </c>
      <c r="I41" s="179" t="s">
        <v>450</v>
      </c>
      <c r="J41" s="179" t="s">
        <v>451</v>
      </c>
      <c r="K41" s="179" t="s">
        <v>452</v>
      </c>
      <c r="L41" s="179" t="s">
        <v>453</v>
      </c>
      <c r="M41" s="179" t="s">
        <v>454</v>
      </c>
      <c r="N41" s="179" t="s">
        <v>455</v>
      </c>
      <c r="O41" s="179" t="s">
        <v>456</v>
      </c>
      <c r="P41" s="179" t="s">
        <v>457</v>
      </c>
      <c r="Q41" s="179" t="s">
        <v>458</v>
      </c>
      <c r="R41" s="193" t="s">
        <v>240</v>
      </c>
      <c r="V41" s="41" t="s">
        <v>416</v>
      </c>
    </row>
    <row r="42" spans="1:22" ht="14">
      <c r="A42" s="41" t="str">
        <f>VLOOKUP($C$31,DVUT_TABLE,1,FALSE)</f>
        <v>Stockholm</v>
      </c>
      <c r="B42" t="str">
        <f>VLOOKUP($C$31,DVUT_TABLE,2,FALSE)</f>
        <v>Stockholm</v>
      </c>
      <c r="C42">
        <f>VLOOKUP($C$31,DVUT_TABLE,3,FALSE)</f>
        <v>102612</v>
      </c>
      <c r="D42">
        <f>VLOOKUP($C$31,DVUT_TABLE,4,FALSE)</f>
        <v>59.28</v>
      </c>
      <c r="E42" s="179"/>
      <c r="F42">
        <f>VLOOKUP($C$31,DVUT_TABLE,6,FALSE)</f>
        <v>-15.5</v>
      </c>
      <c r="G42">
        <f>VLOOKUP($C$31,DVUT_TABLE,7,FALSE)</f>
        <v>-14.9</v>
      </c>
      <c r="H42">
        <f>VLOOKUP($C$31,DVUT_TABLE,8,FALSE)</f>
        <v>-14.4</v>
      </c>
      <c r="I42">
        <f>VLOOKUP($C$31,DVUT_TABLE,9,FALSE)</f>
        <v>-13.7</v>
      </c>
      <c r="J42">
        <f>VLOOKUP($C$31,DVUT_TABLE,10,FALSE)</f>
        <v>-13.1</v>
      </c>
      <c r="K42">
        <f>VLOOKUP($C$31,DVUT_TABLE,11,FALSE)</f>
        <v>-12.8</v>
      </c>
      <c r="L42">
        <f>VLOOKUP($C$31,DVUT_TABLE,12,FALSE)</f>
        <v>-12.7</v>
      </c>
      <c r="M42">
        <f>VLOOKUP($C$31,DVUT_TABLE,13,FALSE)</f>
        <v>-12.4</v>
      </c>
      <c r="N42">
        <f>VLOOKUP($C$31,DVUT_TABLE,14,FALSE)</f>
        <v>-11.9</v>
      </c>
      <c r="O42">
        <f>VLOOKUP($C$31,DVUT_TABLE,15,FALSE)</f>
        <v>-11.9</v>
      </c>
      <c r="P42">
        <f>VLOOKUP($C$31,DVUT_TABLE,16,FALSE)</f>
        <v>-11.6</v>
      </c>
      <c r="Q42">
        <f>VLOOKUP($C$31,DVUT_TABLE,17,FALSE)</f>
        <v>-11.4</v>
      </c>
      <c r="R42">
        <f>VLOOKUP($C$31,DVUT_TABLE,18,FALSE)</f>
        <v>1</v>
      </c>
      <c r="V42" s="41" t="s">
        <v>520</v>
      </c>
    </row>
    <row r="43" spans="1:22">
      <c r="A43" s="41"/>
      <c r="M43" s="41"/>
      <c r="N43" s="41"/>
      <c r="O43" s="41"/>
      <c r="V43" s="41" t="s">
        <v>417</v>
      </c>
    </row>
    <row r="44" spans="1:22">
      <c r="A44" s="41"/>
      <c r="M44" s="41"/>
      <c r="N44" s="41"/>
      <c r="O44" s="41"/>
      <c r="V44" s="41" t="s">
        <v>418</v>
      </c>
    </row>
    <row r="45" spans="1:22">
      <c r="A45" s="41"/>
      <c r="M45" s="41"/>
      <c r="N45" s="41"/>
      <c r="O45" s="41"/>
      <c r="V45" s="41" t="s">
        <v>419</v>
      </c>
    </row>
    <row r="46" spans="1:22">
      <c r="A46" s="41"/>
      <c r="M46" s="41"/>
      <c r="N46" s="41"/>
      <c r="O46" s="41"/>
      <c r="V46" s="41" t="s">
        <v>420</v>
      </c>
    </row>
    <row r="47" spans="1:22">
      <c r="A47" s="41"/>
      <c r="M47" s="41"/>
      <c r="N47" s="41"/>
      <c r="O47" s="41"/>
      <c r="V47" s="41" t="s">
        <v>421</v>
      </c>
    </row>
    <row r="48" spans="1:22">
      <c r="A48" s="41"/>
      <c r="M48" s="41"/>
      <c r="N48" s="41"/>
      <c r="O48" s="41"/>
      <c r="V48" s="41" t="s">
        <v>422</v>
      </c>
    </row>
    <row r="49" spans="1:22">
      <c r="A49" s="41"/>
      <c r="M49" s="41"/>
      <c r="N49" s="41"/>
      <c r="O49" s="41"/>
      <c r="V49" s="41" t="s">
        <v>542</v>
      </c>
    </row>
    <row r="50" spans="1:22">
      <c r="M50" s="41"/>
      <c r="N50" s="41"/>
      <c r="O50" s="41"/>
      <c r="V50" s="41" t="s">
        <v>423</v>
      </c>
    </row>
    <row r="51" spans="1:22">
      <c r="M51" s="41"/>
      <c r="N51" s="41"/>
      <c r="O51" s="41"/>
      <c r="V51" s="41" t="s">
        <v>424</v>
      </c>
    </row>
    <row r="52" spans="1:22">
      <c r="M52" s="41"/>
      <c r="N52" s="41"/>
      <c r="O52" s="41"/>
      <c r="V52" s="41" t="s">
        <v>425</v>
      </c>
    </row>
    <row r="53" spans="1:22">
      <c r="M53" s="41"/>
      <c r="N53" s="41"/>
      <c r="V53" s="41"/>
    </row>
    <row r="54" spans="1:22">
      <c r="A54" t="s">
        <v>588</v>
      </c>
    </row>
    <row r="56" spans="1:22">
      <c r="B56" t="s">
        <v>437</v>
      </c>
      <c r="C56" t="s">
        <v>240</v>
      </c>
    </row>
    <row r="57" spans="1:22">
      <c r="A57" t="s">
        <v>208</v>
      </c>
      <c r="B57" s="191" t="s">
        <v>485</v>
      </c>
      <c r="C57">
        <v>0.9</v>
      </c>
    </row>
    <row r="58" spans="1:22">
      <c r="A58" t="s">
        <v>208</v>
      </c>
      <c r="B58" s="191" t="s">
        <v>486</v>
      </c>
      <c r="C58">
        <v>0.9</v>
      </c>
    </row>
    <row r="59" spans="1:22">
      <c r="A59" t="s">
        <v>208</v>
      </c>
      <c r="B59" s="191" t="s">
        <v>509</v>
      </c>
      <c r="C59">
        <v>0.9</v>
      </c>
    </row>
    <row r="60" spans="1:22">
      <c r="A60" t="s">
        <v>208</v>
      </c>
      <c r="B60" s="191" t="s">
        <v>512</v>
      </c>
      <c r="C60">
        <v>0.9</v>
      </c>
    </row>
    <row r="61" spans="1:22">
      <c r="A61" t="s">
        <v>208</v>
      </c>
      <c r="B61" s="191" t="s">
        <v>524</v>
      </c>
      <c r="C61">
        <v>0.9</v>
      </c>
    </row>
    <row r="62" spans="1:22">
      <c r="A62" s="41" t="s">
        <v>209</v>
      </c>
      <c r="B62" s="67" t="s">
        <v>226</v>
      </c>
      <c r="C62">
        <v>1.1000000000000001</v>
      </c>
    </row>
    <row r="63" spans="1:22">
      <c r="A63" s="41" t="s">
        <v>209</v>
      </c>
      <c r="B63" s="67" t="s">
        <v>227</v>
      </c>
      <c r="C63">
        <v>1.1000000000000001</v>
      </c>
    </row>
    <row r="64" spans="1:22">
      <c r="A64" s="41" t="s">
        <v>209</v>
      </c>
      <c r="B64" s="67" t="s">
        <v>228</v>
      </c>
      <c r="C64">
        <v>1.1000000000000001</v>
      </c>
    </row>
    <row r="65" spans="1:3">
      <c r="A65" s="41" t="s">
        <v>209</v>
      </c>
      <c r="B65" s="67" t="s">
        <v>229</v>
      </c>
      <c r="C65">
        <v>1.2</v>
      </c>
    </row>
    <row r="66" spans="1:3">
      <c r="A66" s="41" t="s">
        <v>209</v>
      </c>
      <c r="B66" s="67" t="s">
        <v>107</v>
      </c>
      <c r="C66">
        <v>1.2</v>
      </c>
    </row>
    <row r="67" spans="1:3">
      <c r="A67" s="41" t="s">
        <v>209</v>
      </c>
      <c r="B67" s="67" t="s">
        <v>230</v>
      </c>
      <c r="C67">
        <v>1.2</v>
      </c>
    </row>
    <row r="68" spans="1:3">
      <c r="A68" s="41" t="s">
        <v>209</v>
      </c>
      <c r="B68" s="67" t="s">
        <v>231</v>
      </c>
      <c r="C68">
        <v>1.2</v>
      </c>
    </row>
    <row r="69" spans="1:3">
      <c r="A69" s="41" t="s">
        <v>209</v>
      </c>
      <c r="B69" s="67" t="s">
        <v>232</v>
      </c>
      <c r="C69">
        <v>1.2</v>
      </c>
    </row>
    <row r="70" spans="1:3">
      <c r="A70" s="41" t="s">
        <v>209</v>
      </c>
      <c r="B70" s="67" t="s">
        <v>233</v>
      </c>
      <c r="C70">
        <v>1.2</v>
      </c>
    </row>
    <row r="71" spans="1:3">
      <c r="A71" s="41" t="s">
        <v>209</v>
      </c>
      <c r="B71" s="67" t="s">
        <v>234</v>
      </c>
      <c r="C71">
        <v>1.2</v>
      </c>
    </row>
    <row r="72" spans="1:3">
      <c r="A72" s="41" t="s">
        <v>209</v>
      </c>
      <c r="B72" s="67" t="s">
        <v>235</v>
      </c>
      <c r="C72">
        <v>1.2</v>
      </c>
    </row>
    <row r="73" spans="1:3">
      <c r="A73" s="41" t="s">
        <v>209</v>
      </c>
      <c r="B73" s="67" t="s">
        <v>236</v>
      </c>
      <c r="C73">
        <v>1.2</v>
      </c>
    </row>
    <row r="74" spans="1:3">
      <c r="A74" s="41" t="s">
        <v>209</v>
      </c>
      <c r="B74" s="67" t="s">
        <v>237</v>
      </c>
      <c r="C74">
        <v>1.2</v>
      </c>
    </row>
    <row r="75" spans="1:3">
      <c r="A75" s="41" t="s">
        <v>209</v>
      </c>
      <c r="B75" s="67" t="s">
        <v>238</v>
      </c>
      <c r="C75">
        <v>1.3</v>
      </c>
    </row>
    <row r="76" spans="1:3">
      <c r="A76" s="41" t="s">
        <v>209</v>
      </c>
      <c r="B76" s="67" t="s">
        <v>521</v>
      </c>
      <c r="C76">
        <v>1.3</v>
      </c>
    </row>
    <row r="77" spans="1:3">
      <c r="A77" s="41" t="s">
        <v>209</v>
      </c>
      <c r="B77" s="67" t="s">
        <v>239</v>
      </c>
      <c r="C77">
        <v>1.3</v>
      </c>
    </row>
    <row r="78" spans="1:3">
      <c r="A78" t="s">
        <v>210</v>
      </c>
      <c r="B78" s="191" t="s">
        <v>480</v>
      </c>
      <c r="C78">
        <v>0.9</v>
      </c>
    </row>
    <row r="79" spans="1:3">
      <c r="A79" t="s">
        <v>210</v>
      </c>
      <c r="B79" s="191" t="s">
        <v>114</v>
      </c>
      <c r="C79">
        <v>0.9</v>
      </c>
    </row>
    <row r="80" spans="1:3">
      <c r="A80" s="41" t="s">
        <v>211</v>
      </c>
      <c r="B80" s="67" t="s">
        <v>242</v>
      </c>
      <c r="C80">
        <v>1.1000000000000001</v>
      </c>
    </row>
    <row r="81" spans="1:3">
      <c r="A81" s="41" t="s">
        <v>211</v>
      </c>
      <c r="B81" s="67" t="s">
        <v>243</v>
      </c>
      <c r="C81">
        <v>1.1000000000000001</v>
      </c>
    </row>
    <row r="82" spans="1:3">
      <c r="A82" s="41" t="s">
        <v>211</v>
      </c>
      <c r="B82" s="67" t="s">
        <v>244</v>
      </c>
      <c r="C82">
        <v>1.1000000000000001</v>
      </c>
    </row>
    <row r="83" spans="1:3">
      <c r="A83" s="41" t="s">
        <v>211</v>
      </c>
      <c r="B83" s="67" t="s">
        <v>245</v>
      </c>
      <c r="C83">
        <v>1.2</v>
      </c>
    </row>
    <row r="84" spans="1:3">
      <c r="A84" s="41" t="s">
        <v>211</v>
      </c>
      <c r="B84" s="67" t="s">
        <v>246</v>
      </c>
      <c r="C84">
        <v>1.2</v>
      </c>
    </row>
    <row r="85" spans="1:3">
      <c r="A85" s="41" t="s">
        <v>211</v>
      </c>
      <c r="B85" s="67" t="s">
        <v>247</v>
      </c>
      <c r="C85">
        <v>1.2</v>
      </c>
    </row>
    <row r="86" spans="1:3">
      <c r="A86" s="41" t="s">
        <v>211</v>
      </c>
      <c r="B86" s="67" t="s">
        <v>248</v>
      </c>
      <c r="C86">
        <v>1.2</v>
      </c>
    </row>
    <row r="87" spans="1:3">
      <c r="A87" s="41" t="s">
        <v>211</v>
      </c>
      <c r="B87" s="67" t="s">
        <v>249</v>
      </c>
      <c r="C87">
        <v>1.2</v>
      </c>
    </row>
    <row r="88" spans="1:3">
      <c r="A88" s="41" t="s">
        <v>211</v>
      </c>
      <c r="B88" s="67" t="s">
        <v>250</v>
      </c>
      <c r="C88">
        <v>1.3</v>
      </c>
    </row>
    <row r="89" spans="1:3">
      <c r="A89" s="41" t="s">
        <v>211</v>
      </c>
      <c r="B89" s="67" t="s">
        <v>251</v>
      </c>
      <c r="C89">
        <v>1.3</v>
      </c>
    </row>
    <row r="90" spans="1:3">
      <c r="A90" t="s">
        <v>212</v>
      </c>
      <c r="B90" s="191" t="s">
        <v>467</v>
      </c>
      <c r="C90">
        <v>0.9</v>
      </c>
    </row>
    <row r="91" spans="1:3">
      <c r="A91" t="s">
        <v>212</v>
      </c>
      <c r="B91" s="191" t="s">
        <v>476</v>
      </c>
      <c r="C91">
        <v>0.9</v>
      </c>
    </row>
    <row r="92" spans="1:3">
      <c r="A92" t="s">
        <v>212</v>
      </c>
      <c r="B92" s="191" t="s">
        <v>493</v>
      </c>
      <c r="C92">
        <v>0.9</v>
      </c>
    </row>
    <row r="93" spans="1:3">
      <c r="A93" t="s">
        <v>212</v>
      </c>
      <c r="B93" s="191" t="s">
        <v>532</v>
      </c>
      <c r="C93">
        <v>0.9</v>
      </c>
    </row>
    <row r="94" spans="1:3">
      <c r="A94" t="s">
        <v>212</v>
      </c>
      <c r="B94" s="191" t="s">
        <v>490</v>
      </c>
      <c r="C94">
        <v>0.9</v>
      </c>
    </row>
    <row r="95" spans="1:3">
      <c r="A95" t="s">
        <v>212</v>
      </c>
      <c r="B95" s="191" t="s">
        <v>538</v>
      </c>
      <c r="C95">
        <v>0.9</v>
      </c>
    </row>
    <row r="96" spans="1:3">
      <c r="A96" t="s">
        <v>212</v>
      </c>
      <c r="B96" t="s">
        <v>253</v>
      </c>
      <c r="C96">
        <v>1</v>
      </c>
    </row>
    <row r="97" spans="1:3">
      <c r="A97" s="41" t="s">
        <v>213</v>
      </c>
      <c r="B97" s="41" t="s">
        <v>255</v>
      </c>
      <c r="C97">
        <v>1.4</v>
      </c>
    </row>
    <row r="98" spans="1:3">
      <c r="A98" s="41" t="s">
        <v>213</v>
      </c>
      <c r="B98" s="41" t="s">
        <v>256</v>
      </c>
      <c r="C98">
        <v>1.4</v>
      </c>
    </row>
    <row r="99" spans="1:3">
      <c r="A99" s="41" t="s">
        <v>213</v>
      </c>
      <c r="B99" s="41" t="s">
        <v>257</v>
      </c>
      <c r="C99">
        <v>1.4</v>
      </c>
    </row>
    <row r="100" spans="1:3">
      <c r="A100" s="41" t="s">
        <v>213</v>
      </c>
      <c r="B100" s="41" t="s">
        <v>258</v>
      </c>
      <c r="C100">
        <v>1.4</v>
      </c>
    </row>
    <row r="101" spans="1:3">
      <c r="A101" s="41" t="s">
        <v>213</v>
      </c>
      <c r="B101" s="41" t="s">
        <v>259</v>
      </c>
      <c r="C101">
        <v>1.5</v>
      </c>
    </row>
    <row r="102" spans="1:3">
      <c r="A102" s="41" t="s">
        <v>213</v>
      </c>
      <c r="B102" s="41" t="s">
        <v>260</v>
      </c>
      <c r="C102">
        <v>1.5</v>
      </c>
    </row>
    <row r="103" spans="1:3">
      <c r="A103" s="41" t="s">
        <v>213</v>
      </c>
      <c r="B103" s="41" t="s">
        <v>261</v>
      </c>
      <c r="C103">
        <v>1.5</v>
      </c>
    </row>
    <row r="104" spans="1:3">
      <c r="A104" s="41" t="s">
        <v>213</v>
      </c>
      <c r="B104" s="41" t="s">
        <v>262</v>
      </c>
      <c r="C104">
        <v>1.6</v>
      </c>
    </row>
    <row r="105" spans="1:3">
      <c r="A105" s="41" t="s">
        <v>214</v>
      </c>
      <c r="B105" s="41" t="s">
        <v>263</v>
      </c>
      <c r="C105">
        <v>1</v>
      </c>
    </row>
    <row r="106" spans="1:3">
      <c r="A106" s="41" t="s">
        <v>214</v>
      </c>
      <c r="B106" s="41" t="s">
        <v>264</v>
      </c>
      <c r="C106">
        <v>1</v>
      </c>
    </row>
    <row r="107" spans="1:3">
      <c r="A107" s="41" t="s">
        <v>214</v>
      </c>
      <c r="B107" s="41" t="s">
        <v>265</v>
      </c>
      <c r="C107">
        <v>1</v>
      </c>
    </row>
    <row r="108" spans="1:3">
      <c r="A108" s="41" t="s">
        <v>214</v>
      </c>
      <c r="B108" s="41" t="s">
        <v>266</v>
      </c>
      <c r="C108">
        <v>1</v>
      </c>
    </row>
    <row r="109" spans="1:3">
      <c r="A109" s="41" t="s">
        <v>214</v>
      </c>
      <c r="B109" s="41" t="s">
        <v>214</v>
      </c>
      <c r="C109">
        <v>1</v>
      </c>
    </row>
    <row r="110" spans="1:3">
      <c r="A110" s="41" t="s">
        <v>214</v>
      </c>
      <c r="B110" s="41" t="s">
        <v>267</v>
      </c>
      <c r="C110">
        <v>1</v>
      </c>
    </row>
    <row r="111" spans="1:3">
      <c r="A111" s="41" t="s">
        <v>214</v>
      </c>
      <c r="B111" s="41" t="s">
        <v>268</v>
      </c>
      <c r="C111">
        <v>1</v>
      </c>
    </row>
    <row r="112" spans="1:3">
      <c r="A112" s="41" t="s">
        <v>214</v>
      </c>
      <c r="B112" s="41" t="s">
        <v>269</v>
      </c>
      <c r="C112">
        <v>1</v>
      </c>
    </row>
    <row r="113" spans="1:3">
      <c r="A113" s="41" t="s">
        <v>214</v>
      </c>
      <c r="B113" s="41" t="s">
        <v>270</v>
      </c>
      <c r="C113">
        <v>1</v>
      </c>
    </row>
    <row r="114" spans="1:3">
      <c r="A114" s="41" t="s">
        <v>214</v>
      </c>
      <c r="B114" s="41" t="s">
        <v>271</v>
      </c>
      <c r="C114">
        <v>1</v>
      </c>
    </row>
    <row r="115" spans="1:3">
      <c r="A115" s="41" t="s">
        <v>214</v>
      </c>
      <c r="B115" s="41" t="s">
        <v>272</v>
      </c>
      <c r="C115">
        <v>1.1000000000000001</v>
      </c>
    </row>
    <row r="116" spans="1:3">
      <c r="A116" s="41" t="s">
        <v>214</v>
      </c>
      <c r="B116" s="41" t="s">
        <v>273</v>
      </c>
      <c r="C116">
        <v>1.1000000000000001</v>
      </c>
    </row>
    <row r="117" spans="1:3">
      <c r="A117" s="41" t="s">
        <v>214</v>
      </c>
      <c r="B117" s="41" t="s">
        <v>274</v>
      </c>
      <c r="C117">
        <v>1.1000000000000001</v>
      </c>
    </row>
    <row r="118" spans="1:3">
      <c r="A118" s="41" t="s">
        <v>116</v>
      </c>
      <c r="B118" s="41" t="s">
        <v>275</v>
      </c>
      <c r="C118">
        <v>0.9</v>
      </c>
    </row>
    <row r="119" spans="1:3">
      <c r="A119" s="41" t="s">
        <v>116</v>
      </c>
      <c r="B119" s="41" t="s">
        <v>276</v>
      </c>
      <c r="C119">
        <v>0.9</v>
      </c>
    </row>
    <row r="120" spans="1:3">
      <c r="A120" s="41" t="s">
        <v>116</v>
      </c>
      <c r="B120" s="41" t="s">
        <v>116</v>
      </c>
      <c r="C120">
        <v>0.9</v>
      </c>
    </row>
    <row r="121" spans="1:3">
      <c r="A121" s="41" t="s">
        <v>116</v>
      </c>
      <c r="B121" s="41" t="s">
        <v>277</v>
      </c>
      <c r="C121">
        <v>0.9</v>
      </c>
    </row>
    <row r="122" spans="1:3">
      <c r="A122" s="41" t="s">
        <v>116</v>
      </c>
      <c r="B122" s="41" t="s">
        <v>278</v>
      </c>
      <c r="C122">
        <v>0.9</v>
      </c>
    </row>
    <row r="123" spans="1:3">
      <c r="A123" s="41" t="s">
        <v>116</v>
      </c>
      <c r="B123" s="41" t="s">
        <v>279</v>
      </c>
      <c r="C123">
        <v>0.9</v>
      </c>
    </row>
    <row r="124" spans="1:3">
      <c r="A124" s="41" t="s">
        <v>116</v>
      </c>
      <c r="B124" s="41" t="s">
        <v>280</v>
      </c>
      <c r="C124">
        <v>0.9</v>
      </c>
    </row>
    <row r="125" spans="1:3">
      <c r="A125" s="41" t="s">
        <v>116</v>
      </c>
      <c r="B125" s="41" t="s">
        <v>281</v>
      </c>
      <c r="C125">
        <v>0.9</v>
      </c>
    </row>
    <row r="126" spans="1:3">
      <c r="A126" s="41" t="s">
        <v>116</v>
      </c>
      <c r="B126" s="41" t="s">
        <v>282</v>
      </c>
      <c r="C126">
        <v>0.9</v>
      </c>
    </row>
    <row r="127" spans="1:3">
      <c r="A127" s="41" t="s">
        <v>116</v>
      </c>
      <c r="B127" s="41" t="s">
        <v>283</v>
      </c>
      <c r="C127">
        <v>1</v>
      </c>
    </row>
    <row r="128" spans="1:3">
      <c r="A128" s="41" t="s">
        <v>116</v>
      </c>
      <c r="B128" s="41" t="s">
        <v>284</v>
      </c>
      <c r="C128">
        <v>1</v>
      </c>
    </row>
    <row r="129" spans="1:3">
      <c r="A129" s="41" t="s">
        <v>116</v>
      </c>
      <c r="B129" s="41" t="s">
        <v>285</v>
      </c>
      <c r="C129">
        <v>1</v>
      </c>
    </row>
    <row r="130" spans="1:3">
      <c r="A130" s="41" t="s">
        <v>215</v>
      </c>
      <c r="B130" s="191" t="s">
        <v>461</v>
      </c>
      <c r="C130">
        <v>1</v>
      </c>
    </row>
    <row r="131" spans="1:3">
      <c r="A131" s="41" t="s">
        <v>215</v>
      </c>
      <c r="B131" s="191" t="s">
        <v>494</v>
      </c>
      <c r="C131">
        <v>1</v>
      </c>
    </row>
    <row r="132" spans="1:3">
      <c r="A132" s="41" t="s">
        <v>215</v>
      </c>
      <c r="B132" s="191" t="s">
        <v>497</v>
      </c>
      <c r="C132">
        <v>1</v>
      </c>
    </row>
    <row r="133" spans="1:3">
      <c r="A133" s="41" t="s">
        <v>215</v>
      </c>
      <c r="B133" s="191" t="s">
        <v>499</v>
      </c>
      <c r="C133">
        <v>1</v>
      </c>
    </row>
    <row r="134" spans="1:3">
      <c r="A134" s="41" t="s">
        <v>215</v>
      </c>
      <c r="B134" s="191" t="s">
        <v>525</v>
      </c>
      <c r="C134">
        <v>1</v>
      </c>
    </row>
    <row r="135" spans="1:3">
      <c r="A135" s="41" t="s">
        <v>215</v>
      </c>
      <c r="B135" s="191" t="s">
        <v>547</v>
      </c>
      <c r="C135">
        <v>1</v>
      </c>
    </row>
    <row r="136" spans="1:3">
      <c r="A136" s="41" t="s">
        <v>215</v>
      </c>
      <c r="B136" s="191" t="s">
        <v>115</v>
      </c>
      <c r="C136">
        <v>1</v>
      </c>
    </row>
    <row r="137" spans="1:3">
      <c r="A137" s="41" t="s">
        <v>216</v>
      </c>
      <c r="B137" s="41" t="s">
        <v>286</v>
      </c>
      <c r="C137">
        <v>1.4</v>
      </c>
    </row>
    <row r="138" spans="1:3">
      <c r="A138" s="41" t="s">
        <v>216</v>
      </c>
      <c r="B138" s="41" t="s">
        <v>287</v>
      </c>
      <c r="C138">
        <v>1.5</v>
      </c>
    </row>
    <row r="139" spans="1:3">
      <c r="A139" s="41" t="s">
        <v>216</v>
      </c>
      <c r="B139" s="41" t="s">
        <v>478</v>
      </c>
      <c r="C139">
        <v>1.5</v>
      </c>
    </row>
    <row r="140" spans="1:3">
      <c r="A140" s="41" t="s">
        <v>216</v>
      </c>
      <c r="B140" s="41" t="s">
        <v>288</v>
      </c>
      <c r="C140">
        <v>1.5</v>
      </c>
    </row>
    <row r="141" spans="1:3">
      <c r="A141" s="41" t="s">
        <v>216</v>
      </c>
      <c r="B141" s="41" t="s">
        <v>103</v>
      </c>
      <c r="C141">
        <v>1.5</v>
      </c>
    </row>
    <row r="142" spans="1:3">
      <c r="A142" s="41" t="s">
        <v>216</v>
      </c>
      <c r="B142" s="41" t="s">
        <v>289</v>
      </c>
      <c r="C142">
        <v>1.5</v>
      </c>
    </row>
    <row r="143" spans="1:3">
      <c r="A143" s="41" t="s">
        <v>216</v>
      </c>
      <c r="B143" s="41" t="s">
        <v>290</v>
      </c>
      <c r="C143">
        <v>1.6</v>
      </c>
    </row>
    <row r="144" spans="1:3">
      <c r="A144" s="41" t="s">
        <v>216</v>
      </c>
      <c r="B144" s="41" t="s">
        <v>291</v>
      </c>
      <c r="C144">
        <v>1.6</v>
      </c>
    </row>
    <row r="145" spans="1:3">
      <c r="A145" s="41" t="s">
        <v>216</v>
      </c>
      <c r="B145" s="41" t="s">
        <v>292</v>
      </c>
      <c r="C145">
        <v>1.6</v>
      </c>
    </row>
    <row r="146" spans="1:3">
      <c r="A146" s="41" t="s">
        <v>216</v>
      </c>
      <c r="B146" s="41" t="s">
        <v>293</v>
      </c>
      <c r="C146">
        <v>1.7</v>
      </c>
    </row>
    <row r="147" spans="1:3">
      <c r="A147" s="41" t="s">
        <v>216</v>
      </c>
      <c r="B147" s="41" t="s">
        <v>294</v>
      </c>
      <c r="C147">
        <v>1.7</v>
      </c>
    </row>
    <row r="148" spans="1:3">
      <c r="A148" s="41" t="s">
        <v>216</v>
      </c>
      <c r="B148" s="41" t="s">
        <v>102</v>
      </c>
      <c r="C148">
        <v>1.8</v>
      </c>
    </row>
    <row r="149" spans="1:3">
      <c r="A149" s="41" t="s">
        <v>216</v>
      </c>
      <c r="B149" s="41" t="s">
        <v>295</v>
      </c>
      <c r="C149">
        <v>1.9</v>
      </c>
    </row>
    <row r="150" spans="1:3">
      <c r="A150" s="41" t="s">
        <v>216</v>
      </c>
      <c r="B150" s="41" t="s">
        <v>296</v>
      </c>
      <c r="C150">
        <v>1.9</v>
      </c>
    </row>
    <row r="151" spans="1:3">
      <c r="A151" s="41" t="s">
        <v>217</v>
      </c>
      <c r="B151" s="41" t="s">
        <v>297</v>
      </c>
      <c r="C151">
        <v>0.8</v>
      </c>
    </row>
    <row r="152" spans="1:3">
      <c r="A152" s="41" t="s">
        <v>217</v>
      </c>
      <c r="B152" s="41" t="s">
        <v>298</v>
      </c>
      <c r="C152">
        <v>0.8</v>
      </c>
    </row>
    <row r="153" spans="1:3">
      <c r="A153" s="41" t="s">
        <v>217</v>
      </c>
      <c r="B153" s="41" t="s">
        <v>299</v>
      </c>
      <c r="C153">
        <v>0.8</v>
      </c>
    </row>
    <row r="154" spans="1:3">
      <c r="A154" s="41" t="s">
        <v>217</v>
      </c>
      <c r="B154" s="41" t="s">
        <v>300</v>
      </c>
      <c r="C154">
        <v>0.8</v>
      </c>
    </row>
    <row r="155" spans="1:3">
      <c r="A155" s="41" t="s">
        <v>217</v>
      </c>
      <c r="B155" s="41" t="s">
        <v>301</v>
      </c>
      <c r="C155">
        <v>0.8</v>
      </c>
    </row>
    <row r="156" spans="1:3">
      <c r="A156" s="41" t="s">
        <v>217</v>
      </c>
      <c r="B156" s="41" t="s">
        <v>302</v>
      </c>
      <c r="C156">
        <v>0.9</v>
      </c>
    </row>
    <row r="157" spans="1:3">
      <c r="A157" s="41" t="s">
        <v>217</v>
      </c>
      <c r="B157" s="41" t="s">
        <v>303</v>
      </c>
      <c r="C157">
        <v>0.9</v>
      </c>
    </row>
    <row r="158" spans="1:3">
      <c r="A158" s="41" t="s">
        <v>217</v>
      </c>
      <c r="B158" s="41" t="s">
        <v>304</v>
      </c>
      <c r="C158">
        <v>0.9</v>
      </c>
    </row>
    <row r="159" spans="1:3">
      <c r="A159" s="41" t="s">
        <v>217</v>
      </c>
      <c r="B159" s="41" t="s">
        <v>305</v>
      </c>
      <c r="C159">
        <v>0.9</v>
      </c>
    </row>
    <row r="160" spans="1:3">
      <c r="A160" s="41" t="s">
        <v>217</v>
      </c>
      <c r="B160" s="41" t="s">
        <v>306</v>
      </c>
      <c r="C160">
        <v>0.9</v>
      </c>
    </row>
    <row r="161" spans="1:3">
      <c r="A161" s="41" t="s">
        <v>217</v>
      </c>
      <c r="B161" s="41" t="s">
        <v>307</v>
      </c>
      <c r="C161">
        <v>0.9</v>
      </c>
    </row>
    <row r="162" spans="1:3">
      <c r="A162" s="41" t="s">
        <v>217</v>
      </c>
      <c r="B162" s="41" t="s">
        <v>308</v>
      </c>
      <c r="C162">
        <v>0.9</v>
      </c>
    </row>
    <row r="163" spans="1:3">
      <c r="A163" s="41" t="s">
        <v>217</v>
      </c>
      <c r="B163" s="41" t="s">
        <v>309</v>
      </c>
      <c r="C163">
        <v>0.9</v>
      </c>
    </row>
    <row r="164" spans="1:3">
      <c r="A164" s="41" t="s">
        <v>217</v>
      </c>
      <c r="B164" s="41" t="s">
        <v>310</v>
      </c>
      <c r="C164">
        <v>0.9</v>
      </c>
    </row>
    <row r="165" spans="1:3">
      <c r="A165" s="41" t="s">
        <v>217</v>
      </c>
      <c r="B165" s="41" t="s">
        <v>311</v>
      </c>
      <c r="C165">
        <v>0.9</v>
      </c>
    </row>
    <row r="166" spans="1:3">
      <c r="A166" s="41" t="s">
        <v>217</v>
      </c>
      <c r="B166" s="41" t="s">
        <v>312</v>
      </c>
      <c r="C166">
        <v>0.9</v>
      </c>
    </row>
    <row r="167" spans="1:3">
      <c r="A167" s="41" t="s">
        <v>217</v>
      </c>
      <c r="B167" s="41" t="s">
        <v>313</v>
      </c>
      <c r="C167">
        <v>0.9</v>
      </c>
    </row>
    <row r="168" spans="1:3">
      <c r="A168" s="41" t="s">
        <v>217</v>
      </c>
      <c r="B168" s="41" t="s">
        <v>117</v>
      </c>
      <c r="C168">
        <v>0.9</v>
      </c>
    </row>
    <row r="169" spans="1:3">
      <c r="A169" s="41" t="s">
        <v>217</v>
      </c>
      <c r="B169" s="41" t="s">
        <v>314</v>
      </c>
      <c r="C169">
        <v>0.9</v>
      </c>
    </row>
    <row r="170" spans="1:3">
      <c r="A170" s="41" t="s">
        <v>217</v>
      </c>
      <c r="B170" s="41" t="s">
        <v>315</v>
      </c>
      <c r="C170">
        <v>0.9</v>
      </c>
    </row>
    <row r="171" spans="1:3">
      <c r="A171" s="41" t="s">
        <v>217</v>
      </c>
      <c r="B171" s="41" t="s">
        <v>316</v>
      </c>
      <c r="C171">
        <v>0.9</v>
      </c>
    </row>
    <row r="172" spans="1:3">
      <c r="A172" s="41" t="s">
        <v>217</v>
      </c>
      <c r="B172" s="41" t="s">
        <v>317</v>
      </c>
      <c r="C172">
        <v>0.9</v>
      </c>
    </row>
    <row r="173" spans="1:3">
      <c r="A173" s="41" t="s">
        <v>217</v>
      </c>
      <c r="B173" s="41" t="s">
        <v>318</v>
      </c>
      <c r="C173">
        <v>0.9</v>
      </c>
    </row>
    <row r="174" spans="1:3">
      <c r="A174" s="41" t="s">
        <v>217</v>
      </c>
      <c r="B174" s="41" t="s">
        <v>319</v>
      </c>
      <c r="C174">
        <v>0.9</v>
      </c>
    </row>
    <row r="175" spans="1:3">
      <c r="A175" s="41" t="s">
        <v>217</v>
      </c>
      <c r="B175" s="41" t="s">
        <v>320</v>
      </c>
      <c r="C175">
        <v>0.9</v>
      </c>
    </row>
    <row r="176" spans="1:3">
      <c r="A176" s="41" t="s">
        <v>217</v>
      </c>
      <c r="B176" s="41" t="s">
        <v>321</v>
      </c>
      <c r="C176">
        <v>0.9</v>
      </c>
    </row>
    <row r="177" spans="1:3">
      <c r="A177" s="41" t="s">
        <v>217</v>
      </c>
      <c r="B177" s="41" t="s">
        <v>322</v>
      </c>
      <c r="C177">
        <v>0.9</v>
      </c>
    </row>
    <row r="178" spans="1:3">
      <c r="A178" s="41" t="s">
        <v>217</v>
      </c>
      <c r="B178" s="41" t="s">
        <v>323</v>
      </c>
      <c r="C178">
        <v>0.9</v>
      </c>
    </row>
    <row r="179" spans="1:3">
      <c r="A179" s="41" t="s">
        <v>217</v>
      </c>
      <c r="B179" s="41" t="s">
        <v>324</v>
      </c>
      <c r="C179">
        <v>0.9</v>
      </c>
    </row>
    <row r="180" spans="1:3">
      <c r="A180" s="41" t="s">
        <v>217</v>
      </c>
      <c r="B180" s="41" t="s">
        <v>548</v>
      </c>
      <c r="C180">
        <v>0.9</v>
      </c>
    </row>
    <row r="181" spans="1:3">
      <c r="A181" s="41" t="s">
        <v>217</v>
      </c>
      <c r="B181" s="41" t="s">
        <v>325</v>
      </c>
      <c r="C181">
        <v>0.9</v>
      </c>
    </row>
    <row r="182" spans="1:3">
      <c r="A182" s="41" t="s">
        <v>217</v>
      </c>
      <c r="B182" s="41" t="s">
        <v>326</v>
      </c>
      <c r="C182">
        <v>1</v>
      </c>
    </row>
    <row r="183" spans="1:3">
      <c r="A183" s="41" t="s">
        <v>217</v>
      </c>
      <c r="B183" s="41" t="s">
        <v>327</v>
      </c>
      <c r="C183">
        <v>1</v>
      </c>
    </row>
    <row r="184" spans="1:3">
      <c r="A184" t="s">
        <v>218</v>
      </c>
      <c r="B184" s="191" t="s">
        <v>460</v>
      </c>
      <c r="C184">
        <v>1</v>
      </c>
    </row>
    <row r="185" spans="1:3">
      <c r="A185" t="s">
        <v>218</v>
      </c>
      <c r="B185" s="191" t="s">
        <v>462</v>
      </c>
      <c r="C185">
        <v>1</v>
      </c>
    </row>
    <row r="186" spans="1:3">
      <c r="A186" t="s">
        <v>218</v>
      </c>
      <c r="B186" s="191" t="s">
        <v>463</v>
      </c>
      <c r="C186">
        <v>1</v>
      </c>
    </row>
    <row r="187" spans="1:3">
      <c r="A187" t="s">
        <v>218</v>
      </c>
      <c r="B187" s="191" t="s">
        <v>477</v>
      </c>
      <c r="C187">
        <v>1</v>
      </c>
    </row>
    <row r="188" spans="1:3">
      <c r="A188" t="s">
        <v>218</v>
      </c>
      <c r="B188" s="191" t="s">
        <v>481</v>
      </c>
      <c r="C188">
        <v>1</v>
      </c>
    </row>
    <row r="189" spans="1:3">
      <c r="A189" t="s">
        <v>218</v>
      </c>
      <c r="B189" s="191" t="s">
        <v>483</v>
      </c>
      <c r="C189">
        <v>1</v>
      </c>
    </row>
    <row r="190" spans="1:3">
      <c r="A190" t="s">
        <v>218</v>
      </c>
      <c r="B190" s="191" t="s">
        <v>495</v>
      </c>
      <c r="C190">
        <v>1</v>
      </c>
    </row>
    <row r="191" spans="1:3">
      <c r="A191" t="s">
        <v>218</v>
      </c>
      <c r="B191" s="191" t="s">
        <v>502</v>
      </c>
      <c r="C191">
        <v>1</v>
      </c>
    </row>
    <row r="192" spans="1:3">
      <c r="A192" t="s">
        <v>218</v>
      </c>
      <c r="B192" s="191" t="s">
        <v>503</v>
      </c>
      <c r="C192">
        <v>1</v>
      </c>
    </row>
    <row r="193" spans="1:3">
      <c r="A193" t="s">
        <v>218</v>
      </c>
      <c r="B193" s="191" t="s">
        <v>505</v>
      </c>
      <c r="C193">
        <v>1</v>
      </c>
    </row>
    <row r="194" spans="1:3">
      <c r="A194" t="s">
        <v>218</v>
      </c>
      <c r="B194" s="191" t="s">
        <v>506</v>
      </c>
      <c r="C194">
        <v>1</v>
      </c>
    </row>
    <row r="195" spans="1:3">
      <c r="A195" t="s">
        <v>218</v>
      </c>
      <c r="B195" s="191" t="s">
        <v>508</v>
      </c>
      <c r="C195">
        <v>1</v>
      </c>
    </row>
    <row r="196" spans="1:3">
      <c r="A196" t="s">
        <v>218</v>
      </c>
      <c r="B196" s="191" t="s">
        <v>513</v>
      </c>
      <c r="C196">
        <v>1</v>
      </c>
    </row>
    <row r="197" spans="1:3">
      <c r="A197" t="s">
        <v>218</v>
      </c>
      <c r="B197" s="191" t="s">
        <v>514</v>
      </c>
      <c r="C197">
        <v>1</v>
      </c>
    </row>
    <row r="198" spans="1:3">
      <c r="A198" t="s">
        <v>218</v>
      </c>
      <c r="B198" s="191" t="s">
        <v>515</v>
      </c>
      <c r="C198">
        <v>1</v>
      </c>
    </row>
    <row r="199" spans="1:3">
      <c r="A199" t="s">
        <v>218</v>
      </c>
      <c r="B199" s="191" t="s">
        <v>516</v>
      </c>
      <c r="C199">
        <v>1</v>
      </c>
    </row>
    <row r="200" spans="1:3">
      <c r="A200" t="s">
        <v>218</v>
      </c>
      <c r="B200" s="191" t="s">
        <v>218</v>
      </c>
      <c r="C200">
        <v>1</v>
      </c>
    </row>
    <row r="201" spans="1:3">
      <c r="A201" t="s">
        <v>218</v>
      </c>
      <c r="B201" s="191" t="s">
        <v>53</v>
      </c>
      <c r="C201">
        <v>1</v>
      </c>
    </row>
    <row r="202" spans="1:3">
      <c r="A202" t="s">
        <v>218</v>
      </c>
      <c r="B202" s="191" t="s">
        <v>519</v>
      </c>
      <c r="C202">
        <v>1</v>
      </c>
    </row>
    <row r="203" spans="1:3">
      <c r="A203" t="s">
        <v>218</v>
      </c>
      <c r="B203" s="191" t="s">
        <v>109</v>
      </c>
      <c r="C203">
        <v>1</v>
      </c>
    </row>
    <row r="204" spans="1:3">
      <c r="A204" t="s">
        <v>218</v>
      </c>
      <c r="B204" s="191" t="s">
        <v>528</v>
      </c>
      <c r="C204">
        <v>1</v>
      </c>
    </row>
    <row r="205" spans="1:3">
      <c r="A205" t="s">
        <v>218</v>
      </c>
      <c r="B205" s="191" t="s">
        <v>529</v>
      </c>
      <c r="C205">
        <v>1</v>
      </c>
    </row>
    <row r="206" spans="1:3">
      <c r="A206" t="s">
        <v>218</v>
      </c>
      <c r="B206" s="191" t="s">
        <v>533</v>
      </c>
      <c r="C206">
        <v>1</v>
      </c>
    </row>
    <row r="207" spans="1:3">
      <c r="A207" t="s">
        <v>218</v>
      </c>
      <c r="B207" s="191" t="s">
        <v>534</v>
      </c>
      <c r="C207">
        <v>1</v>
      </c>
    </row>
    <row r="208" spans="1:3">
      <c r="A208" t="s">
        <v>218</v>
      </c>
      <c r="B208" s="191" t="s">
        <v>537</v>
      </c>
      <c r="C208">
        <v>1</v>
      </c>
    </row>
    <row r="209" spans="1:3">
      <c r="A209" t="s">
        <v>218</v>
      </c>
      <c r="B209" s="191" t="s">
        <v>539</v>
      </c>
      <c r="C209">
        <v>1</v>
      </c>
    </row>
    <row r="210" spans="1:3">
      <c r="A210" t="s">
        <v>218</v>
      </c>
      <c r="B210" s="191" t="s">
        <v>543</v>
      </c>
      <c r="C210">
        <v>1</v>
      </c>
    </row>
    <row r="211" spans="1:3">
      <c r="A211" t="s">
        <v>218</v>
      </c>
      <c r="B211" s="191" t="s">
        <v>550</v>
      </c>
      <c r="C211">
        <v>1</v>
      </c>
    </row>
    <row r="212" spans="1:3">
      <c r="A212" t="s">
        <v>219</v>
      </c>
      <c r="B212" s="191" t="s">
        <v>466</v>
      </c>
      <c r="C212">
        <v>1</v>
      </c>
    </row>
    <row r="213" spans="1:3">
      <c r="A213" t="s">
        <v>219</v>
      </c>
      <c r="B213" s="191" t="s">
        <v>470</v>
      </c>
      <c r="C213">
        <v>1</v>
      </c>
    </row>
    <row r="214" spans="1:3">
      <c r="A214" t="s">
        <v>219</v>
      </c>
      <c r="B214" s="191" t="s">
        <v>473</v>
      </c>
      <c r="C214">
        <v>1</v>
      </c>
    </row>
    <row r="215" spans="1:3">
      <c r="A215" t="s">
        <v>219</v>
      </c>
      <c r="B215" s="191" t="s">
        <v>487</v>
      </c>
      <c r="C215">
        <v>1</v>
      </c>
    </row>
    <row r="216" spans="1:3">
      <c r="A216" t="s">
        <v>219</v>
      </c>
      <c r="B216" s="191" t="s">
        <v>507</v>
      </c>
      <c r="C216">
        <v>1</v>
      </c>
    </row>
    <row r="217" spans="1:3">
      <c r="A217" t="s">
        <v>219</v>
      </c>
      <c r="B217" s="191" t="s">
        <v>518</v>
      </c>
      <c r="C217">
        <v>1</v>
      </c>
    </row>
    <row r="218" spans="1:3">
      <c r="A218" t="s">
        <v>219</v>
      </c>
      <c r="B218" s="191" t="s">
        <v>527</v>
      </c>
      <c r="C218">
        <v>1</v>
      </c>
    </row>
    <row r="219" spans="1:3">
      <c r="A219" t="s">
        <v>219</v>
      </c>
      <c r="B219" s="191" t="s">
        <v>541</v>
      </c>
      <c r="C219">
        <v>1</v>
      </c>
    </row>
    <row r="220" spans="1:3">
      <c r="A220" s="41" t="s">
        <v>108</v>
      </c>
      <c r="B220" s="41" t="s">
        <v>331</v>
      </c>
      <c r="C220">
        <v>1</v>
      </c>
    </row>
    <row r="221" spans="1:3">
      <c r="A221" s="41" t="s">
        <v>108</v>
      </c>
      <c r="B221" s="41" t="s">
        <v>332</v>
      </c>
      <c r="C221">
        <v>1</v>
      </c>
    </row>
    <row r="222" spans="1:3">
      <c r="A222" s="41" t="s">
        <v>108</v>
      </c>
      <c r="B222" s="41" t="s">
        <v>333</v>
      </c>
      <c r="C222">
        <v>1</v>
      </c>
    </row>
    <row r="223" spans="1:3">
      <c r="A223" s="41" t="s">
        <v>108</v>
      </c>
      <c r="B223" s="41" t="s">
        <v>108</v>
      </c>
      <c r="C223">
        <v>1</v>
      </c>
    </row>
    <row r="224" spans="1:3">
      <c r="A224" s="41" t="s">
        <v>108</v>
      </c>
      <c r="B224" s="41" t="s">
        <v>334</v>
      </c>
      <c r="C224">
        <v>1.1000000000000001</v>
      </c>
    </row>
    <row r="225" spans="1:3">
      <c r="A225" s="41" t="s">
        <v>108</v>
      </c>
      <c r="B225" s="41" t="s">
        <v>335</v>
      </c>
      <c r="C225">
        <v>1.1000000000000001</v>
      </c>
    </row>
    <row r="226" spans="1:3">
      <c r="A226" s="41" t="s">
        <v>108</v>
      </c>
      <c r="B226" s="41" t="s">
        <v>336</v>
      </c>
      <c r="C226">
        <v>1.1000000000000001</v>
      </c>
    </row>
    <row r="227" spans="1:3">
      <c r="A227" s="41" t="s">
        <v>108</v>
      </c>
      <c r="B227" s="41" t="s">
        <v>337</v>
      </c>
      <c r="C227">
        <v>1.1000000000000001</v>
      </c>
    </row>
    <row r="228" spans="1:3">
      <c r="A228" s="41" t="s">
        <v>220</v>
      </c>
      <c r="B228" s="41" t="s">
        <v>338</v>
      </c>
      <c r="C228">
        <v>1</v>
      </c>
    </row>
    <row r="229" spans="1:3">
      <c r="A229" s="41" t="s">
        <v>220</v>
      </c>
      <c r="B229" s="41" t="s">
        <v>339</v>
      </c>
      <c r="C229">
        <v>1</v>
      </c>
    </row>
    <row r="230" spans="1:3">
      <c r="A230" s="41" t="s">
        <v>220</v>
      </c>
      <c r="B230" s="41" t="s">
        <v>340</v>
      </c>
      <c r="C230">
        <v>1.1000000000000001</v>
      </c>
    </row>
    <row r="231" spans="1:3">
      <c r="A231" s="41" t="s">
        <v>220</v>
      </c>
      <c r="B231" s="41" t="s">
        <v>341</v>
      </c>
      <c r="C231">
        <v>1.1000000000000001</v>
      </c>
    </row>
    <row r="232" spans="1:3">
      <c r="A232" s="41" t="s">
        <v>220</v>
      </c>
      <c r="B232" s="41" t="s">
        <v>343</v>
      </c>
      <c r="C232">
        <v>1.1000000000000001</v>
      </c>
    </row>
    <row r="233" spans="1:3">
      <c r="A233" s="41" t="s">
        <v>220</v>
      </c>
      <c r="B233" s="41" t="s">
        <v>342</v>
      </c>
      <c r="C233">
        <v>1.1000000000000001</v>
      </c>
    </row>
    <row r="234" spans="1:3">
      <c r="A234" s="41" t="s">
        <v>220</v>
      </c>
      <c r="B234" s="41" t="s">
        <v>344</v>
      </c>
      <c r="C234">
        <v>1.1000000000000001</v>
      </c>
    </row>
    <row r="235" spans="1:3">
      <c r="A235" s="41" t="s">
        <v>220</v>
      </c>
      <c r="B235" s="41" t="s">
        <v>111</v>
      </c>
      <c r="C235">
        <v>1.1000000000000001</v>
      </c>
    </row>
    <row r="236" spans="1:3">
      <c r="A236" s="41" t="s">
        <v>220</v>
      </c>
      <c r="B236" s="41" t="s">
        <v>345</v>
      </c>
      <c r="C236">
        <v>1.1000000000000001</v>
      </c>
    </row>
    <row r="237" spans="1:3">
      <c r="A237" s="41" t="s">
        <v>220</v>
      </c>
      <c r="B237" s="41" t="s">
        <v>346</v>
      </c>
      <c r="C237">
        <v>1.1000000000000001</v>
      </c>
    </row>
    <row r="238" spans="1:3">
      <c r="A238" s="41" t="s">
        <v>220</v>
      </c>
      <c r="B238" s="41" t="s">
        <v>347</v>
      </c>
      <c r="C238">
        <v>1.1000000000000001</v>
      </c>
    </row>
    <row r="239" spans="1:3">
      <c r="A239" s="41" t="s">
        <v>220</v>
      </c>
      <c r="B239" s="41" t="s">
        <v>348</v>
      </c>
      <c r="C239">
        <v>1.1000000000000001</v>
      </c>
    </row>
    <row r="240" spans="1:3">
      <c r="A240" s="41" t="s">
        <v>220</v>
      </c>
      <c r="B240" s="41" t="s">
        <v>349</v>
      </c>
      <c r="C240">
        <v>1.1000000000000001</v>
      </c>
    </row>
    <row r="241" spans="1:3">
      <c r="A241" s="41" t="s">
        <v>220</v>
      </c>
      <c r="B241" s="41" t="s">
        <v>350</v>
      </c>
      <c r="C241">
        <v>1.1000000000000001</v>
      </c>
    </row>
    <row r="242" spans="1:3">
      <c r="A242" s="41" t="s">
        <v>220</v>
      </c>
      <c r="B242" s="41" t="s">
        <v>351</v>
      </c>
      <c r="C242">
        <v>1.2</v>
      </c>
    </row>
    <row r="243" spans="1:3">
      <c r="A243" s="41" t="s">
        <v>220</v>
      </c>
      <c r="B243" s="41" t="s">
        <v>352</v>
      </c>
      <c r="C243">
        <v>1.2</v>
      </c>
    </row>
    <row r="244" spans="1:3">
      <c r="A244" s="41" t="s">
        <v>221</v>
      </c>
      <c r="B244" s="41" t="s">
        <v>504</v>
      </c>
      <c r="C244">
        <v>1.3</v>
      </c>
    </row>
    <row r="245" spans="1:3">
      <c r="A245" s="41" t="s">
        <v>221</v>
      </c>
      <c r="B245" s="41" t="s">
        <v>353</v>
      </c>
      <c r="C245">
        <v>1.3</v>
      </c>
    </row>
    <row r="246" spans="1:3">
      <c r="A246" s="41" t="s">
        <v>221</v>
      </c>
      <c r="B246" s="41" t="s">
        <v>354</v>
      </c>
      <c r="C246">
        <v>1.4</v>
      </c>
    </row>
    <row r="247" spans="1:3">
      <c r="A247" s="41" t="s">
        <v>221</v>
      </c>
      <c r="B247" s="41" t="s">
        <v>355</v>
      </c>
      <c r="C247">
        <v>1.4</v>
      </c>
    </row>
    <row r="248" spans="1:3">
      <c r="A248" s="41" t="s">
        <v>221</v>
      </c>
      <c r="B248" s="41" t="s">
        <v>356</v>
      </c>
      <c r="C248">
        <v>1.4</v>
      </c>
    </row>
    <row r="249" spans="1:3">
      <c r="A249" s="41" t="s">
        <v>221</v>
      </c>
      <c r="B249" s="41" t="s">
        <v>357</v>
      </c>
      <c r="C249">
        <v>1.4</v>
      </c>
    </row>
    <row r="250" spans="1:3">
      <c r="A250" s="41" t="s">
        <v>221</v>
      </c>
      <c r="B250" s="41" t="s">
        <v>358</v>
      </c>
      <c r="C250">
        <v>1.5</v>
      </c>
    </row>
    <row r="251" spans="1:3">
      <c r="A251" s="41" t="s">
        <v>221</v>
      </c>
      <c r="B251" s="41" t="s">
        <v>104</v>
      </c>
      <c r="C251">
        <v>1.5</v>
      </c>
    </row>
    <row r="252" spans="1:3">
      <c r="A252" s="41" t="s">
        <v>221</v>
      </c>
      <c r="B252" s="41" t="s">
        <v>359</v>
      </c>
      <c r="C252">
        <v>1.5</v>
      </c>
    </row>
    <row r="253" spans="1:3">
      <c r="A253" s="41" t="s">
        <v>221</v>
      </c>
      <c r="B253" s="41" t="s">
        <v>360</v>
      </c>
      <c r="C253">
        <v>1.5</v>
      </c>
    </row>
    <row r="254" spans="1:3">
      <c r="A254" s="41" t="s">
        <v>221</v>
      </c>
      <c r="B254" s="41" t="s">
        <v>361</v>
      </c>
      <c r="C254">
        <v>1.6</v>
      </c>
    </row>
    <row r="255" spans="1:3">
      <c r="A255" s="41" t="s">
        <v>221</v>
      </c>
      <c r="B255" s="41" t="s">
        <v>362</v>
      </c>
      <c r="C255">
        <v>1.6</v>
      </c>
    </row>
    <row r="256" spans="1:3">
      <c r="A256" s="41" t="s">
        <v>221</v>
      </c>
      <c r="B256" s="41" t="s">
        <v>540</v>
      </c>
      <c r="C256">
        <v>1.6</v>
      </c>
    </row>
    <row r="257" spans="1:3">
      <c r="A257" s="41" t="s">
        <v>221</v>
      </c>
      <c r="B257" s="41" t="s">
        <v>363</v>
      </c>
      <c r="C257">
        <v>1.7</v>
      </c>
    </row>
    <row r="258" spans="1:3">
      <c r="A258" s="41" t="s">
        <v>221</v>
      </c>
      <c r="B258" s="41" t="s">
        <v>364</v>
      </c>
      <c r="C258">
        <v>1.8</v>
      </c>
    </row>
    <row r="259" spans="1:3">
      <c r="A259" s="41" t="s">
        <v>222</v>
      </c>
      <c r="B259" s="41" t="s">
        <v>365</v>
      </c>
      <c r="C259">
        <v>1.3</v>
      </c>
    </row>
    <row r="260" spans="1:3">
      <c r="A260" s="41" t="s">
        <v>222</v>
      </c>
      <c r="B260" s="41" t="s">
        <v>366</v>
      </c>
      <c r="C260">
        <v>1.3</v>
      </c>
    </row>
    <row r="261" spans="1:3">
      <c r="A261" s="41" t="s">
        <v>222</v>
      </c>
      <c r="B261" s="41" t="s">
        <v>367</v>
      </c>
      <c r="C261">
        <v>1.3</v>
      </c>
    </row>
    <row r="262" spans="1:3">
      <c r="A262" s="41" t="s">
        <v>222</v>
      </c>
      <c r="B262" s="41" t="s">
        <v>368</v>
      </c>
      <c r="C262">
        <v>1.3</v>
      </c>
    </row>
    <row r="263" spans="1:3">
      <c r="A263" s="41" t="s">
        <v>222</v>
      </c>
      <c r="B263" s="41" t="s">
        <v>369</v>
      </c>
      <c r="C263">
        <v>1.3</v>
      </c>
    </row>
    <row r="264" spans="1:3">
      <c r="A264" s="41" t="s">
        <v>222</v>
      </c>
      <c r="B264" s="41" t="s">
        <v>370</v>
      </c>
      <c r="C264">
        <v>1.4</v>
      </c>
    </row>
    <row r="265" spans="1:3">
      <c r="A265" s="41" t="s">
        <v>222</v>
      </c>
      <c r="B265" s="41" t="s">
        <v>371</v>
      </c>
      <c r="C265">
        <v>1.4</v>
      </c>
    </row>
    <row r="266" spans="1:3">
      <c r="A266" s="41" t="s">
        <v>223</v>
      </c>
      <c r="B266" s="41" t="s">
        <v>372</v>
      </c>
      <c r="C266">
        <v>1</v>
      </c>
    </row>
    <row r="267" spans="1:3">
      <c r="A267" s="41" t="s">
        <v>223</v>
      </c>
      <c r="B267" s="41" t="s">
        <v>373</v>
      </c>
      <c r="C267">
        <v>1</v>
      </c>
    </row>
    <row r="268" spans="1:3">
      <c r="A268" s="41" t="s">
        <v>223</v>
      </c>
      <c r="B268" s="41" t="s">
        <v>491</v>
      </c>
      <c r="C268">
        <v>1</v>
      </c>
    </row>
    <row r="269" spans="1:3">
      <c r="A269" s="41" t="s">
        <v>223</v>
      </c>
      <c r="B269" s="41" t="s">
        <v>374</v>
      </c>
      <c r="C269">
        <v>1</v>
      </c>
    </row>
    <row r="270" spans="1:3">
      <c r="A270" s="41" t="s">
        <v>223</v>
      </c>
      <c r="B270" s="41" t="s">
        <v>375</v>
      </c>
      <c r="C270">
        <v>1</v>
      </c>
    </row>
    <row r="271" spans="1:3">
      <c r="A271" s="41" t="s">
        <v>223</v>
      </c>
      <c r="B271" s="41" t="s">
        <v>376</v>
      </c>
      <c r="C271">
        <v>1</v>
      </c>
    </row>
    <row r="272" spans="1:3">
      <c r="A272" s="41" t="s">
        <v>223</v>
      </c>
      <c r="B272" s="41" t="s">
        <v>377</v>
      </c>
      <c r="C272">
        <v>1.1000000000000001</v>
      </c>
    </row>
    <row r="273" spans="1:3">
      <c r="A273" s="41" t="s">
        <v>223</v>
      </c>
      <c r="B273" s="41" t="s">
        <v>378</v>
      </c>
      <c r="C273">
        <v>1.1000000000000001</v>
      </c>
    </row>
    <row r="274" spans="1:3">
      <c r="A274" s="41" t="s">
        <v>223</v>
      </c>
      <c r="B274" s="41" t="s">
        <v>379</v>
      </c>
      <c r="C274">
        <v>1.1000000000000001</v>
      </c>
    </row>
    <row r="275" spans="1:3">
      <c r="A275" s="41" t="s">
        <v>223</v>
      </c>
      <c r="B275" s="41" t="s">
        <v>380</v>
      </c>
      <c r="C275">
        <v>1.1000000000000001</v>
      </c>
    </row>
    <row r="276" spans="1:3">
      <c r="A276" s="41" t="s">
        <v>438</v>
      </c>
      <c r="B276" s="41" t="s">
        <v>381</v>
      </c>
      <c r="C276">
        <v>0.9</v>
      </c>
    </row>
    <row r="277" spans="1:3">
      <c r="A277" s="41" t="s">
        <v>438</v>
      </c>
      <c r="B277" s="41" t="s">
        <v>382</v>
      </c>
      <c r="C277">
        <v>0.9</v>
      </c>
    </row>
    <row r="278" spans="1:3">
      <c r="A278" s="41" t="s">
        <v>438</v>
      </c>
      <c r="B278" s="41" t="s">
        <v>383</v>
      </c>
      <c r="C278">
        <v>0.9</v>
      </c>
    </row>
    <row r="279" spans="1:3">
      <c r="A279" s="41" t="s">
        <v>438</v>
      </c>
      <c r="B279" s="41" t="s">
        <v>384</v>
      </c>
      <c r="C279">
        <v>0.9</v>
      </c>
    </row>
    <row r="280" spans="1:3">
      <c r="A280" s="41" t="s">
        <v>438</v>
      </c>
      <c r="B280" s="41" t="s">
        <v>385</v>
      </c>
      <c r="C280">
        <v>0.9</v>
      </c>
    </row>
    <row r="281" spans="1:3">
      <c r="A281" s="41" t="s">
        <v>438</v>
      </c>
      <c r="B281" s="41" t="s">
        <v>386</v>
      </c>
      <c r="C281">
        <v>0.9</v>
      </c>
    </row>
    <row r="282" spans="1:3">
      <c r="A282" s="41" t="s">
        <v>438</v>
      </c>
      <c r="B282" s="41" t="s">
        <v>387</v>
      </c>
      <c r="C282">
        <v>0.9</v>
      </c>
    </row>
    <row r="283" spans="1:3">
      <c r="A283" s="41" t="s">
        <v>438</v>
      </c>
      <c r="B283" s="41" t="s">
        <v>388</v>
      </c>
      <c r="C283">
        <v>0.9</v>
      </c>
    </row>
    <row r="284" spans="1:3">
      <c r="A284" s="41" t="s">
        <v>438</v>
      </c>
      <c r="B284" s="41" t="s">
        <v>389</v>
      </c>
      <c r="C284">
        <v>0.9</v>
      </c>
    </row>
    <row r="285" spans="1:3">
      <c r="A285" s="41" t="s">
        <v>438</v>
      </c>
      <c r="B285" s="41" t="s">
        <v>390</v>
      </c>
      <c r="C285">
        <v>0.9</v>
      </c>
    </row>
    <row r="286" spans="1:3">
      <c r="A286" s="41" t="s">
        <v>438</v>
      </c>
      <c r="B286" s="41" t="s">
        <v>391</v>
      </c>
      <c r="C286">
        <v>0.9</v>
      </c>
    </row>
    <row r="287" spans="1:3">
      <c r="A287" s="41" t="s">
        <v>438</v>
      </c>
      <c r="B287" s="41" t="s">
        <v>392</v>
      </c>
      <c r="C287">
        <v>0.9</v>
      </c>
    </row>
    <row r="288" spans="1:3">
      <c r="A288" s="41" t="s">
        <v>438</v>
      </c>
      <c r="B288" s="41" t="s">
        <v>526</v>
      </c>
      <c r="C288">
        <v>0.9</v>
      </c>
    </row>
    <row r="289" spans="1:3">
      <c r="A289" s="41" t="s">
        <v>438</v>
      </c>
      <c r="B289" s="41" t="s">
        <v>393</v>
      </c>
      <c r="C289">
        <v>0.9</v>
      </c>
    </row>
    <row r="290" spans="1:3">
      <c r="A290" s="41" t="s">
        <v>438</v>
      </c>
      <c r="B290" s="41" t="s">
        <v>394</v>
      </c>
      <c r="C290">
        <v>0.9</v>
      </c>
    </row>
    <row r="291" spans="1:3">
      <c r="A291" s="41" t="s">
        <v>438</v>
      </c>
      <c r="B291" s="41" t="s">
        <v>395</v>
      </c>
      <c r="C291">
        <v>1</v>
      </c>
    </row>
    <row r="292" spans="1:3">
      <c r="A292" s="41" t="s">
        <v>438</v>
      </c>
      <c r="B292" s="41" t="s">
        <v>396</v>
      </c>
      <c r="C292">
        <v>1</v>
      </c>
    </row>
    <row r="293" spans="1:3">
      <c r="A293" s="41" t="s">
        <v>438</v>
      </c>
      <c r="B293" s="41" t="s">
        <v>397</v>
      </c>
      <c r="C293">
        <v>1</v>
      </c>
    </row>
    <row r="294" spans="1:3">
      <c r="A294" s="41" t="s">
        <v>438</v>
      </c>
      <c r="B294" s="41" t="s">
        <v>398</v>
      </c>
      <c r="C294">
        <v>1</v>
      </c>
    </row>
    <row r="295" spans="1:3">
      <c r="A295" s="41" t="s">
        <v>438</v>
      </c>
      <c r="B295" s="41" t="s">
        <v>399</v>
      </c>
      <c r="C295">
        <v>1</v>
      </c>
    </row>
    <row r="296" spans="1:3">
      <c r="A296" s="41" t="s">
        <v>438</v>
      </c>
      <c r="B296" s="41" t="s">
        <v>556</v>
      </c>
      <c r="C296">
        <v>1</v>
      </c>
    </row>
    <row r="297" spans="1:3">
      <c r="A297" s="41" t="s">
        <v>438</v>
      </c>
      <c r="B297" s="41" t="s">
        <v>400</v>
      </c>
      <c r="C297">
        <v>1</v>
      </c>
    </row>
    <row r="298" spans="1:3">
      <c r="A298" s="41" t="s">
        <v>438</v>
      </c>
      <c r="B298" s="41" t="s">
        <v>401</v>
      </c>
      <c r="C298">
        <v>1</v>
      </c>
    </row>
    <row r="299" spans="1:3">
      <c r="A299" s="41" t="s">
        <v>438</v>
      </c>
      <c r="B299" s="41" t="s">
        <v>402</v>
      </c>
      <c r="C299">
        <v>1</v>
      </c>
    </row>
    <row r="300" spans="1:3">
      <c r="A300" s="41" t="s">
        <v>438</v>
      </c>
      <c r="B300" s="41" t="s">
        <v>403</v>
      </c>
      <c r="C300">
        <v>1</v>
      </c>
    </row>
    <row r="301" spans="1:3">
      <c r="A301" s="41" t="s">
        <v>438</v>
      </c>
      <c r="B301" s="41" t="s">
        <v>404</v>
      </c>
      <c r="C301">
        <v>1</v>
      </c>
    </row>
    <row r="302" spans="1:3">
      <c r="A302" s="41" t="s">
        <v>438</v>
      </c>
      <c r="B302" s="41" t="s">
        <v>405</v>
      </c>
      <c r="C302">
        <v>1</v>
      </c>
    </row>
    <row r="303" spans="1:3">
      <c r="A303" s="41" t="s">
        <v>438</v>
      </c>
      <c r="B303" s="41" t="s">
        <v>406</v>
      </c>
      <c r="C303">
        <v>1</v>
      </c>
    </row>
    <row r="304" spans="1:3">
      <c r="A304" s="41" t="s">
        <v>438</v>
      </c>
      <c r="B304" s="41" t="s">
        <v>407</v>
      </c>
      <c r="C304">
        <v>1</v>
      </c>
    </row>
    <row r="305" spans="1:3">
      <c r="A305" s="41" t="s">
        <v>438</v>
      </c>
      <c r="B305" s="41" t="s">
        <v>408</v>
      </c>
      <c r="C305">
        <v>1</v>
      </c>
    </row>
    <row r="306" spans="1:3">
      <c r="A306" s="41" t="s">
        <v>438</v>
      </c>
      <c r="B306" s="41" t="s">
        <v>409</v>
      </c>
      <c r="C306">
        <v>1</v>
      </c>
    </row>
    <row r="307" spans="1:3">
      <c r="A307" s="41" t="s">
        <v>438</v>
      </c>
      <c r="B307" s="41" t="s">
        <v>410</v>
      </c>
      <c r="C307">
        <v>1</v>
      </c>
    </row>
    <row r="308" spans="1:3">
      <c r="A308" s="41" t="s">
        <v>438</v>
      </c>
      <c r="B308" s="41" t="s">
        <v>411</v>
      </c>
      <c r="C308">
        <v>1</v>
      </c>
    </row>
    <row r="309" spans="1:3">
      <c r="A309" s="41" t="s">
        <v>438</v>
      </c>
      <c r="B309" s="41" t="s">
        <v>412</v>
      </c>
      <c r="C309">
        <v>1</v>
      </c>
    </row>
    <row r="310" spans="1:3">
      <c r="A310" s="41" t="s">
        <v>438</v>
      </c>
      <c r="B310" s="41" t="s">
        <v>413</v>
      </c>
      <c r="C310">
        <v>1</v>
      </c>
    </row>
    <row r="311" spans="1:3">
      <c r="A311" s="41" t="s">
        <v>438</v>
      </c>
      <c r="B311" s="41" t="s">
        <v>414</v>
      </c>
      <c r="C311">
        <v>1</v>
      </c>
    </row>
    <row r="312" spans="1:3">
      <c r="A312" s="41" t="s">
        <v>438</v>
      </c>
      <c r="B312" s="41" t="s">
        <v>415</v>
      </c>
      <c r="C312">
        <v>1</v>
      </c>
    </row>
    <row r="313" spans="1:3">
      <c r="A313" s="41" t="s">
        <v>438</v>
      </c>
      <c r="B313" s="41" t="s">
        <v>416</v>
      </c>
      <c r="C313">
        <v>1</v>
      </c>
    </row>
    <row r="314" spans="1:3">
      <c r="A314" s="41" t="s">
        <v>438</v>
      </c>
      <c r="B314" s="41" t="s">
        <v>520</v>
      </c>
      <c r="C314">
        <v>1</v>
      </c>
    </row>
    <row r="315" spans="1:3">
      <c r="A315" s="41" t="s">
        <v>438</v>
      </c>
      <c r="B315" s="41" t="s">
        <v>417</v>
      </c>
      <c r="C315">
        <v>1</v>
      </c>
    </row>
    <row r="316" spans="1:3">
      <c r="A316" s="41" t="s">
        <v>438</v>
      </c>
      <c r="B316" s="41" t="s">
        <v>418</v>
      </c>
      <c r="C316">
        <v>1</v>
      </c>
    </row>
    <row r="317" spans="1:3">
      <c r="A317" s="41" t="s">
        <v>438</v>
      </c>
      <c r="B317" s="41" t="s">
        <v>419</v>
      </c>
      <c r="C317">
        <v>1</v>
      </c>
    </row>
    <row r="318" spans="1:3">
      <c r="A318" s="41" t="s">
        <v>438</v>
      </c>
      <c r="B318" s="41" t="s">
        <v>420</v>
      </c>
      <c r="C318">
        <v>1</v>
      </c>
    </row>
    <row r="319" spans="1:3">
      <c r="A319" s="41" t="s">
        <v>438</v>
      </c>
      <c r="B319" s="41" t="s">
        <v>421</v>
      </c>
      <c r="C319">
        <v>1</v>
      </c>
    </row>
    <row r="320" spans="1:3">
      <c r="A320" s="41" t="s">
        <v>438</v>
      </c>
      <c r="B320" s="41" t="s">
        <v>422</v>
      </c>
      <c r="C320">
        <v>1</v>
      </c>
    </row>
    <row r="321" spans="1:3">
      <c r="A321" s="41" t="s">
        <v>438</v>
      </c>
      <c r="B321" s="41" t="s">
        <v>542</v>
      </c>
      <c r="C321">
        <v>1</v>
      </c>
    </row>
    <row r="322" spans="1:3">
      <c r="A322" s="41" t="s">
        <v>438</v>
      </c>
      <c r="B322" s="41" t="s">
        <v>423</v>
      </c>
      <c r="C322">
        <v>1</v>
      </c>
    </row>
    <row r="323" spans="1:3">
      <c r="A323" s="41" t="s">
        <v>438</v>
      </c>
      <c r="B323" s="41" t="s">
        <v>424</v>
      </c>
      <c r="C323">
        <v>1.1000000000000001</v>
      </c>
    </row>
    <row r="324" spans="1:3">
      <c r="A324" s="41" t="s">
        <v>438</v>
      </c>
      <c r="B324" s="41" t="s">
        <v>425</v>
      </c>
      <c r="C324">
        <v>1.1000000000000001</v>
      </c>
    </row>
    <row r="325" spans="1:3">
      <c r="A325" s="41" t="s">
        <v>110</v>
      </c>
      <c r="B325" s="41" t="s">
        <v>475</v>
      </c>
      <c r="C325">
        <v>1</v>
      </c>
    </row>
    <row r="326" spans="1:3">
      <c r="A326" s="41" t="s">
        <v>110</v>
      </c>
      <c r="B326" s="41" t="s">
        <v>426</v>
      </c>
      <c r="C326">
        <v>1</v>
      </c>
    </row>
    <row r="327" spans="1:3">
      <c r="A327" s="41" t="s">
        <v>110</v>
      </c>
      <c r="B327" s="41" t="s">
        <v>427</v>
      </c>
      <c r="C327">
        <v>1</v>
      </c>
    </row>
    <row r="328" spans="1:3">
      <c r="A328" s="41" t="s">
        <v>110</v>
      </c>
      <c r="B328" s="41" t="s">
        <v>428</v>
      </c>
      <c r="C328">
        <v>1</v>
      </c>
    </row>
    <row r="329" spans="1:3">
      <c r="A329" s="41" t="s">
        <v>110</v>
      </c>
      <c r="B329" s="41" t="s">
        <v>475</v>
      </c>
      <c r="C329">
        <v>1</v>
      </c>
    </row>
    <row r="330" spans="1:3">
      <c r="A330" s="41" t="s">
        <v>110</v>
      </c>
      <c r="B330" s="41" t="s">
        <v>426</v>
      </c>
      <c r="C330">
        <v>1</v>
      </c>
    </row>
    <row r="331" spans="1:3">
      <c r="A331" s="41" t="s">
        <v>110</v>
      </c>
      <c r="B331" s="41" t="s">
        <v>427</v>
      </c>
      <c r="C331">
        <v>1</v>
      </c>
    </row>
    <row r="332" spans="1:3">
      <c r="A332" s="41" t="s">
        <v>110</v>
      </c>
      <c r="B332" s="41" t="s">
        <v>428</v>
      </c>
      <c r="C332">
        <v>1</v>
      </c>
    </row>
    <row r="333" spans="1:3">
      <c r="A333" s="41" t="s">
        <v>110</v>
      </c>
      <c r="B333" s="41" t="s">
        <v>110</v>
      </c>
      <c r="C333">
        <v>1</v>
      </c>
    </row>
    <row r="334" spans="1:3">
      <c r="A334" s="41" t="s">
        <v>110</v>
      </c>
      <c r="B334" s="41" t="s">
        <v>429</v>
      </c>
      <c r="C334">
        <v>1.1000000000000001</v>
      </c>
    </row>
    <row r="335" spans="1:3">
      <c r="A335" s="41" t="s">
        <v>110</v>
      </c>
      <c r="B335" s="41" t="s">
        <v>430</v>
      </c>
      <c r="C335">
        <v>1.1000000000000001</v>
      </c>
    </row>
    <row r="336" spans="1:3">
      <c r="A336" s="41" t="s">
        <v>110</v>
      </c>
      <c r="B336" s="41" t="s">
        <v>431</v>
      </c>
      <c r="C336">
        <v>1.1000000000000001</v>
      </c>
    </row>
    <row r="337" spans="1:3">
      <c r="A337" s="41" t="s">
        <v>110</v>
      </c>
      <c r="B337" s="41" t="s">
        <v>432</v>
      </c>
      <c r="C337">
        <v>1.1000000000000001</v>
      </c>
    </row>
    <row r="338" spans="1:3">
      <c r="A338" s="41" t="s">
        <v>110</v>
      </c>
      <c r="B338" s="41" t="s">
        <v>433</v>
      </c>
      <c r="C338">
        <v>1.1000000000000001</v>
      </c>
    </row>
    <row r="339" spans="1:3">
      <c r="A339" s="41" t="s">
        <v>110</v>
      </c>
      <c r="B339" s="41" t="s">
        <v>434</v>
      </c>
      <c r="C339">
        <v>1.1000000000000001</v>
      </c>
    </row>
    <row r="340" spans="1:3">
      <c r="A340" s="41" t="s">
        <v>110</v>
      </c>
      <c r="B340" s="41" t="s">
        <v>435</v>
      </c>
      <c r="C340">
        <v>1.2</v>
      </c>
    </row>
    <row r="341" spans="1:3">
      <c r="A341" s="41" t="s">
        <v>225</v>
      </c>
      <c r="B341" s="191" t="s">
        <v>469</v>
      </c>
      <c r="C341">
        <v>1</v>
      </c>
    </row>
    <row r="342" spans="1:3">
      <c r="A342" s="41" t="s">
        <v>225</v>
      </c>
      <c r="B342" s="191" t="s">
        <v>488</v>
      </c>
      <c r="C342">
        <v>1</v>
      </c>
    </row>
    <row r="343" spans="1:3">
      <c r="A343" s="41" t="s">
        <v>225</v>
      </c>
      <c r="B343" s="191" t="s">
        <v>496</v>
      </c>
      <c r="C343">
        <v>1</v>
      </c>
    </row>
    <row r="344" spans="1:3">
      <c r="A344" s="41" t="s">
        <v>225</v>
      </c>
      <c r="B344" s="191" t="s">
        <v>500</v>
      </c>
      <c r="C344">
        <v>1</v>
      </c>
    </row>
    <row r="345" spans="1:3">
      <c r="A345" s="41" t="s">
        <v>225</v>
      </c>
      <c r="B345" s="191" t="s">
        <v>501</v>
      </c>
      <c r="C345">
        <v>1</v>
      </c>
    </row>
    <row r="346" spans="1:3">
      <c r="A346" s="41" t="s">
        <v>225</v>
      </c>
      <c r="B346" s="191" t="s">
        <v>498</v>
      </c>
      <c r="C346">
        <v>1</v>
      </c>
    </row>
    <row r="347" spans="1:3">
      <c r="A347" t="s">
        <v>219</v>
      </c>
      <c r="B347" s="191" t="s">
        <v>112</v>
      </c>
      <c r="C347">
        <v>1</v>
      </c>
    </row>
    <row r="348" spans="1:3">
      <c r="A348" s="41" t="s">
        <v>225</v>
      </c>
      <c r="B348" s="191" t="s">
        <v>523</v>
      </c>
      <c r="C348">
        <v>1</v>
      </c>
    </row>
    <row r="349" spans="1:3">
      <c r="A349" s="41" t="s">
        <v>225</v>
      </c>
      <c r="B349" s="191" t="s">
        <v>535</v>
      </c>
      <c r="C349">
        <v>1</v>
      </c>
    </row>
    <row r="350" spans="1:3">
      <c r="A350" s="41" t="s">
        <v>225</v>
      </c>
      <c r="B350" s="191" t="s">
        <v>536</v>
      </c>
      <c r="C350">
        <v>1</v>
      </c>
    </row>
    <row r="351" spans="1:3">
      <c r="A351" s="41" t="s">
        <v>225</v>
      </c>
      <c r="B351" s="191" t="s">
        <v>544</v>
      </c>
      <c r="C351">
        <v>1</v>
      </c>
    </row>
    <row r="352" spans="1:3">
      <c r="A352" s="41" t="s">
        <v>225</v>
      </c>
      <c r="B352" s="191" t="s">
        <v>546</v>
      </c>
      <c r="C352">
        <v>1</v>
      </c>
    </row>
    <row r="353" spans="1:3">
      <c r="A353" s="41" t="s">
        <v>225</v>
      </c>
      <c r="B353" s="191" t="s">
        <v>549</v>
      </c>
      <c r="C353">
        <v>1</v>
      </c>
    </row>
    <row r="354" spans="1:3">
      <c r="B354" s="41"/>
    </row>
    <row r="355" spans="1:3">
      <c r="B355" s="41"/>
    </row>
  </sheetData>
  <phoneticPr fontId="15" type="noConversion"/>
  <dataValidations disablePrompts="1" count="2">
    <dataValidation type="list" allowBlank="1" showInputMessage="1" showErrorMessage="1" sqref="C30">
      <formula1>LänFgeo</formula1>
    </dataValidation>
    <dataValidation type="list" allowBlank="1" showInputMessage="1" showErrorMessage="1" sqref="C31 E37 D36 F36">
      <formula1>INDIRECT($C$30)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Y317"/>
  <sheetViews>
    <sheetView showRuler="0" topLeftCell="A283" zoomScale="125" zoomScaleNormal="125" zoomScalePageLayoutView="125" workbookViewId="0">
      <selection activeCell="A302" sqref="A302:IV302"/>
    </sheetView>
  </sheetViews>
  <sheetFormatPr baseColWidth="10" defaultColWidth="8.83203125" defaultRowHeight="12" x14ac:dyDescent="0"/>
  <cols>
    <col min="1" max="1" width="12" customWidth="1"/>
    <col min="2" max="2" width="23" customWidth="1"/>
    <col min="3" max="3" width="21.33203125" customWidth="1"/>
    <col min="4" max="19" width="8.83203125" customWidth="1"/>
    <col min="21" max="21" width="24.1640625" customWidth="1"/>
    <col min="22" max="22" width="23.83203125" customWidth="1"/>
    <col min="25" max="25" width="26.33203125" customWidth="1"/>
  </cols>
  <sheetData>
    <row r="1" spans="1:25" ht="18">
      <c r="C1" s="178" t="s">
        <v>443</v>
      </c>
    </row>
    <row r="2" spans="1:25" ht="14">
      <c r="A2" t="s">
        <v>587</v>
      </c>
      <c r="B2" t="s">
        <v>586</v>
      </c>
      <c r="C2" s="179" t="s">
        <v>589</v>
      </c>
      <c r="D2" s="179" t="s">
        <v>444</v>
      </c>
      <c r="E2" s="179" t="s">
        <v>445</v>
      </c>
      <c r="F2" s="179" t="s">
        <v>446</v>
      </c>
      <c r="G2" s="179" t="s">
        <v>447</v>
      </c>
      <c r="H2" s="179" t="s">
        <v>448</v>
      </c>
      <c r="I2" s="179" t="s">
        <v>449</v>
      </c>
      <c r="J2" s="179" t="s">
        <v>450</v>
      </c>
      <c r="K2" s="179" t="s">
        <v>451</v>
      </c>
      <c r="L2" s="179" t="s">
        <v>452</v>
      </c>
      <c r="M2" s="179" t="s">
        <v>453</v>
      </c>
      <c r="N2" s="179" t="s">
        <v>454</v>
      </c>
      <c r="O2" s="179" t="s">
        <v>455</v>
      </c>
      <c r="P2" s="179" t="s">
        <v>456</v>
      </c>
      <c r="Q2" s="179" t="s">
        <v>457</v>
      </c>
      <c r="R2" s="179" t="s">
        <v>458</v>
      </c>
      <c r="S2" s="190" t="s">
        <v>570</v>
      </c>
      <c r="T2" s="189" t="s">
        <v>240</v>
      </c>
    </row>
    <row r="3" spans="1:25">
      <c r="B3" s="188" t="s">
        <v>460</v>
      </c>
      <c r="C3" t="s">
        <v>460</v>
      </c>
      <c r="D3">
        <v>102627</v>
      </c>
      <c r="E3">
        <v>59.36</v>
      </c>
      <c r="F3">
        <v>17.52</v>
      </c>
      <c r="G3">
        <v>-17.3</v>
      </c>
      <c r="H3">
        <v>-16.399999999999999</v>
      </c>
      <c r="I3">
        <v>-15.7</v>
      </c>
      <c r="J3">
        <v>-15.2</v>
      </c>
      <c r="K3">
        <v>-14.5</v>
      </c>
      <c r="L3">
        <v>-14.1</v>
      </c>
      <c r="M3">
        <v>-13.9</v>
      </c>
      <c r="N3">
        <v>-13.6</v>
      </c>
      <c r="O3">
        <v>-13.4</v>
      </c>
      <c r="P3">
        <v>-12.9</v>
      </c>
      <c r="Q3">
        <v>-12.6</v>
      </c>
      <c r="R3">
        <v>-12.4</v>
      </c>
      <c r="S3">
        <v>1</v>
      </c>
      <c r="T3">
        <f t="shared" ref="T3:T66" si="0">VALUE(VLOOKUP(B3,FgeoVlookup,2,FALSE))</f>
        <v>1</v>
      </c>
      <c r="U3" t="s">
        <v>328</v>
      </c>
      <c r="X3" s="41"/>
      <c r="Y3" s="41"/>
    </row>
    <row r="4" spans="1:25">
      <c r="B4" s="188" t="s">
        <v>462</v>
      </c>
      <c r="C4" t="s">
        <v>462</v>
      </c>
      <c r="D4">
        <v>102623</v>
      </c>
      <c r="E4">
        <v>59.18</v>
      </c>
      <c r="F4">
        <v>17.91</v>
      </c>
      <c r="G4">
        <v>-15.9</v>
      </c>
      <c r="H4">
        <v>-15</v>
      </c>
      <c r="I4">
        <v>-14.4</v>
      </c>
      <c r="J4">
        <v>-13.8</v>
      </c>
      <c r="K4">
        <v>-13.1</v>
      </c>
      <c r="L4">
        <v>-12.8</v>
      </c>
      <c r="M4">
        <v>-12.8</v>
      </c>
      <c r="N4">
        <v>-12.6</v>
      </c>
      <c r="O4">
        <v>-12.1</v>
      </c>
      <c r="P4">
        <v>-12</v>
      </c>
      <c r="Q4">
        <v>-11.9</v>
      </c>
      <c r="R4">
        <v>-11.6</v>
      </c>
      <c r="S4">
        <v>1</v>
      </c>
      <c r="T4">
        <f t="shared" si="0"/>
        <v>1</v>
      </c>
      <c r="U4" t="s">
        <v>328</v>
      </c>
      <c r="X4" s="41"/>
      <c r="Y4" s="41"/>
    </row>
    <row r="5" spans="1:25">
      <c r="B5" s="188" t="s">
        <v>463</v>
      </c>
      <c r="C5" t="s">
        <v>463</v>
      </c>
      <c r="D5">
        <v>102646</v>
      </c>
      <c r="E5">
        <v>59.4</v>
      </c>
      <c r="F5">
        <v>18.079999999999998</v>
      </c>
      <c r="G5">
        <v>-16</v>
      </c>
      <c r="H5">
        <v>-15.3</v>
      </c>
      <c r="I5">
        <v>-14.7</v>
      </c>
      <c r="J5">
        <v>-14.1</v>
      </c>
      <c r="K5">
        <v>-13.4</v>
      </c>
      <c r="L5">
        <v>-13.1</v>
      </c>
      <c r="M5">
        <v>-13</v>
      </c>
      <c r="N5">
        <v>-12.7</v>
      </c>
      <c r="O5">
        <v>-12.2</v>
      </c>
      <c r="P5">
        <v>-12.1</v>
      </c>
      <c r="Q5">
        <v>-11.8</v>
      </c>
      <c r="R5">
        <v>-11.6</v>
      </c>
      <c r="S5">
        <v>1</v>
      </c>
      <c r="T5">
        <f t="shared" si="0"/>
        <v>1</v>
      </c>
      <c r="U5" t="s">
        <v>328</v>
      </c>
      <c r="X5" s="41"/>
      <c r="Y5" s="41"/>
    </row>
    <row r="6" spans="1:25">
      <c r="B6" s="188" t="s">
        <v>477</v>
      </c>
      <c r="C6" t="s">
        <v>477</v>
      </c>
      <c r="D6">
        <v>102610</v>
      </c>
      <c r="E6">
        <v>59.11</v>
      </c>
      <c r="F6">
        <v>18.07</v>
      </c>
      <c r="G6">
        <v>-14.9</v>
      </c>
      <c r="H6">
        <v>-14.4</v>
      </c>
      <c r="I6">
        <v>-13.8</v>
      </c>
      <c r="J6">
        <v>-13</v>
      </c>
      <c r="K6">
        <v>-12.6</v>
      </c>
      <c r="L6">
        <v>-12.5</v>
      </c>
      <c r="M6">
        <v>-12.5</v>
      </c>
      <c r="N6">
        <v>-12</v>
      </c>
      <c r="O6">
        <v>-11.8</v>
      </c>
      <c r="P6">
        <v>-11.7</v>
      </c>
      <c r="Q6">
        <v>-11.1</v>
      </c>
      <c r="R6">
        <v>-11.1</v>
      </c>
      <c r="S6">
        <v>1</v>
      </c>
      <c r="T6">
        <f t="shared" si="0"/>
        <v>1</v>
      </c>
      <c r="U6" t="s">
        <v>328</v>
      </c>
    </row>
    <row r="7" spans="1:25">
      <c r="B7" s="188" t="s">
        <v>481</v>
      </c>
      <c r="C7" t="s">
        <v>481</v>
      </c>
      <c r="D7">
        <v>102624</v>
      </c>
      <c r="E7">
        <v>59.21</v>
      </c>
      <c r="F7">
        <v>18.04</v>
      </c>
      <c r="G7">
        <v>-15.6</v>
      </c>
      <c r="H7">
        <v>-15</v>
      </c>
      <c r="I7">
        <v>-14.3</v>
      </c>
      <c r="J7">
        <v>-13.7</v>
      </c>
      <c r="K7">
        <v>-13.2</v>
      </c>
      <c r="L7">
        <v>-12.9</v>
      </c>
      <c r="M7">
        <v>-12.8</v>
      </c>
      <c r="N7">
        <v>-12.5</v>
      </c>
      <c r="O7">
        <v>-12.2</v>
      </c>
      <c r="P7">
        <v>-12</v>
      </c>
      <c r="Q7">
        <v>-11.8</v>
      </c>
      <c r="R7">
        <v>-11.6</v>
      </c>
      <c r="S7">
        <v>1</v>
      </c>
      <c r="T7">
        <f t="shared" si="0"/>
        <v>1</v>
      </c>
      <c r="U7" t="s">
        <v>328</v>
      </c>
    </row>
    <row r="8" spans="1:25">
      <c r="B8" s="188" t="s">
        <v>483</v>
      </c>
      <c r="C8" t="s">
        <v>483</v>
      </c>
      <c r="D8">
        <v>102626</v>
      </c>
      <c r="E8">
        <v>59.41</v>
      </c>
      <c r="F8">
        <v>17.87</v>
      </c>
      <c r="G8">
        <v>-16.8</v>
      </c>
      <c r="H8">
        <v>-16</v>
      </c>
      <c r="I8">
        <v>-15.4</v>
      </c>
      <c r="J8">
        <v>-14.8</v>
      </c>
      <c r="K8">
        <v>-14</v>
      </c>
      <c r="L8">
        <v>-13.7</v>
      </c>
      <c r="M8">
        <v>-13.6</v>
      </c>
      <c r="N8">
        <v>-13.2</v>
      </c>
      <c r="O8">
        <v>-12.8</v>
      </c>
      <c r="P8">
        <v>-12.6</v>
      </c>
      <c r="Q8">
        <v>-12.3</v>
      </c>
      <c r="R8">
        <v>-12.2</v>
      </c>
      <c r="S8">
        <v>1</v>
      </c>
      <c r="T8">
        <f t="shared" si="0"/>
        <v>1</v>
      </c>
      <c r="U8" t="s">
        <v>328</v>
      </c>
    </row>
    <row r="9" spans="1:25">
      <c r="B9" s="188" t="s">
        <v>495</v>
      </c>
      <c r="C9" t="s">
        <v>495</v>
      </c>
      <c r="D9">
        <v>102647</v>
      </c>
      <c r="E9">
        <v>59.37</v>
      </c>
      <c r="F9">
        <v>18.18</v>
      </c>
      <c r="G9">
        <v>-15.5</v>
      </c>
      <c r="H9">
        <v>-15.1</v>
      </c>
      <c r="I9">
        <v>-14.5</v>
      </c>
      <c r="J9">
        <v>-13.7</v>
      </c>
      <c r="K9">
        <v>-13.3</v>
      </c>
      <c r="L9">
        <v>-13</v>
      </c>
      <c r="M9">
        <v>-12.8</v>
      </c>
      <c r="N9">
        <v>-12.5</v>
      </c>
      <c r="O9">
        <v>-12.1</v>
      </c>
      <c r="P9">
        <v>-12</v>
      </c>
      <c r="Q9">
        <v>-11.6</v>
      </c>
      <c r="R9">
        <v>-11.5</v>
      </c>
      <c r="S9">
        <v>1</v>
      </c>
      <c r="T9">
        <f t="shared" si="0"/>
        <v>1</v>
      </c>
      <c r="U9" t="s">
        <v>328</v>
      </c>
    </row>
    <row r="10" spans="1:25">
      <c r="B10" s="188" t="s">
        <v>502</v>
      </c>
      <c r="C10" t="s">
        <v>502</v>
      </c>
      <c r="D10">
        <v>102615</v>
      </c>
      <c r="E10">
        <v>59.87</v>
      </c>
      <c r="F10">
        <v>17.72</v>
      </c>
      <c r="G10">
        <v>-18</v>
      </c>
      <c r="H10">
        <v>-17.2</v>
      </c>
      <c r="I10">
        <v>-16.8</v>
      </c>
      <c r="J10">
        <v>-16.100000000000001</v>
      </c>
      <c r="K10">
        <v>-15.6</v>
      </c>
      <c r="L10">
        <v>-15.3</v>
      </c>
      <c r="M10">
        <v>-15</v>
      </c>
      <c r="N10">
        <v>-14.7</v>
      </c>
      <c r="O10">
        <v>-14.7</v>
      </c>
      <c r="P10">
        <v>-14.6</v>
      </c>
      <c r="Q10">
        <v>-14.2</v>
      </c>
      <c r="R10">
        <v>-14.1</v>
      </c>
      <c r="S10">
        <v>1</v>
      </c>
      <c r="T10">
        <f t="shared" si="0"/>
        <v>1</v>
      </c>
      <c r="U10" t="s">
        <v>328</v>
      </c>
    </row>
    <row r="11" spans="1:25">
      <c r="B11" s="188" t="s">
        <v>503</v>
      </c>
      <c r="C11" t="s">
        <v>503</v>
      </c>
      <c r="D11">
        <v>102648</v>
      </c>
      <c r="E11">
        <v>59.31</v>
      </c>
      <c r="F11">
        <v>18.16</v>
      </c>
      <c r="G11">
        <v>-15.5</v>
      </c>
      <c r="H11">
        <v>-15.1</v>
      </c>
      <c r="I11">
        <v>-14.6</v>
      </c>
      <c r="J11">
        <v>-13.8</v>
      </c>
      <c r="K11">
        <v>-13.4</v>
      </c>
      <c r="L11">
        <v>-13.1</v>
      </c>
      <c r="M11">
        <v>-12.9</v>
      </c>
      <c r="N11">
        <v>-12.6</v>
      </c>
      <c r="O11">
        <v>-12.3</v>
      </c>
      <c r="P11">
        <v>-12.1</v>
      </c>
      <c r="Q11">
        <v>-11.7</v>
      </c>
      <c r="R11">
        <v>-11.7</v>
      </c>
      <c r="S11">
        <v>1</v>
      </c>
      <c r="T11">
        <f t="shared" si="0"/>
        <v>1</v>
      </c>
      <c r="U11" t="s">
        <v>328</v>
      </c>
    </row>
    <row r="12" spans="1:25">
      <c r="B12" s="188" t="s">
        <v>505</v>
      </c>
      <c r="C12" t="s">
        <v>505</v>
      </c>
      <c r="D12">
        <v>102616</v>
      </c>
      <c r="E12">
        <v>59.76</v>
      </c>
      <c r="F12">
        <v>18.7</v>
      </c>
      <c r="G12">
        <v>-16.3</v>
      </c>
      <c r="H12">
        <v>-15.6</v>
      </c>
      <c r="I12">
        <v>-15</v>
      </c>
      <c r="J12">
        <v>-14.1</v>
      </c>
      <c r="K12">
        <v>-13.6</v>
      </c>
      <c r="L12">
        <v>-13.5</v>
      </c>
      <c r="M12">
        <v>-13.2</v>
      </c>
      <c r="N12">
        <v>-12.9</v>
      </c>
      <c r="O12">
        <v>-12.8</v>
      </c>
      <c r="P12">
        <v>-12.5</v>
      </c>
      <c r="Q12">
        <v>-12.5</v>
      </c>
      <c r="R12">
        <v>-12.4</v>
      </c>
      <c r="S12">
        <v>1</v>
      </c>
      <c r="T12">
        <f t="shared" si="0"/>
        <v>1</v>
      </c>
      <c r="U12" t="s">
        <v>328</v>
      </c>
    </row>
    <row r="13" spans="1:25">
      <c r="B13" s="188" t="s">
        <v>506</v>
      </c>
      <c r="C13" t="s">
        <v>506</v>
      </c>
      <c r="D13">
        <v>102645</v>
      </c>
      <c r="E13">
        <v>59.17</v>
      </c>
      <c r="F13">
        <v>17.43</v>
      </c>
      <c r="G13">
        <v>-16.899999999999999</v>
      </c>
      <c r="H13">
        <v>-16.3</v>
      </c>
      <c r="I13">
        <v>-15.2</v>
      </c>
      <c r="J13">
        <v>-14.7</v>
      </c>
      <c r="K13">
        <v>-14.1</v>
      </c>
      <c r="L13">
        <v>-13.8</v>
      </c>
      <c r="M13">
        <v>-13.8</v>
      </c>
      <c r="N13">
        <v>-13.4</v>
      </c>
      <c r="O13">
        <v>-13</v>
      </c>
      <c r="P13">
        <v>-12.9</v>
      </c>
      <c r="Q13">
        <v>-12.3</v>
      </c>
      <c r="R13">
        <v>-12.2</v>
      </c>
      <c r="S13">
        <v>1</v>
      </c>
      <c r="T13">
        <f t="shared" si="0"/>
        <v>1</v>
      </c>
      <c r="U13" t="s">
        <v>328</v>
      </c>
    </row>
    <row r="14" spans="1:25">
      <c r="B14" s="188" t="s">
        <v>508</v>
      </c>
      <c r="C14" t="s">
        <v>508</v>
      </c>
      <c r="D14">
        <v>102609</v>
      </c>
      <c r="E14">
        <v>58.9</v>
      </c>
      <c r="F14">
        <v>17.95</v>
      </c>
      <c r="G14">
        <v>-13.9</v>
      </c>
      <c r="H14">
        <v>-13.2</v>
      </c>
      <c r="I14">
        <v>-12.3</v>
      </c>
      <c r="J14">
        <v>-11.9</v>
      </c>
      <c r="K14">
        <v>-11.5</v>
      </c>
      <c r="L14">
        <v>-11.5</v>
      </c>
      <c r="M14">
        <v>-11.3</v>
      </c>
      <c r="N14">
        <v>-11</v>
      </c>
      <c r="O14">
        <v>-10.7</v>
      </c>
      <c r="P14">
        <v>-10.5</v>
      </c>
      <c r="Q14">
        <v>-10.3</v>
      </c>
      <c r="R14">
        <v>-10.199999999999999</v>
      </c>
      <c r="S14">
        <v>1</v>
      </c>
      <c r="T14">
        <f t="shared" si="0"/>
        <v>1</v>
      </c>
      <c r="U14" t="s">
        <v>328</v>
      </c>
    </row>
    <row r="15" spans="1:25">
      <c r="B15" s="188" t="s">
        <v>513</v>
      </c>
      <c r="C15" t="s">
        <v>513</v>
      </c>
      <c r="D15">
        <v>102643</v>
      </c>
      <c r="E15">
        <v>59.24</v>
      </c>
      <c r="F15">
        <v>17.690000000000001</v>
      </c>
      <c r="G15">
        <v>-16.3</v>
      </c>
      <c r="H15">
        <v>-15.7</v>
      </c>
      <c r="I15">
        <v>-15</v>
      </c>
      <c r="J15">
        <v>-14.5</v>
      </c>
      <c r="K15">
        <v>-13.8</v>
      </c>
      <c r="L15">
        <v>-13.4</v>
      </c>
      <c r="M15">
        <v>-13.4</v>
      </c>
      <c r="N15">
        <v>-12.9</v>
      </c>
      <c r="O15">
        <v>-12.6</v>
      </c>
      <c r="P15">
        <v>-12.5</v>
      </c>
      <c r="Q15">
        <v>-12.1</v>
      </c>
      <c r="R15">
        <v>-12</v>
      </c>
      <c r="S15">
        <v>1</v>
      </c>
      <c r="T15">
        <f t="shared" si="0"/>
        <v>1</v>
      </c>
      <c r="U15" t="s">
        <v>328</v>
      </c>
    </row>
    <row r="16" spans="1:25">
      <c r="B16" s="188" t="s">
        <v>514</v>
      </c>
      <c r="C16" t="s">
        <v>514</v>
      </c>
      <c r="D16">
        <v>102642</v>
      </c>
      <c r="E16">
        <v>59.62</v>
      </c>
      <c r="F16">
        <v>17.72</v>
      </c>
      <c r="G16">
        <v>-17.600000000000001</v>
      </c>
      <c r="H16">
        <v>-17</v>
      </c>
      <c r="I16">
        <v>-16</v>
      </c>
      <c r="J16">
        <v>-15.6</v>
      </c>
      <c r="K16">
        <v>-14.9</v>
      </c>
      <c r="L16">
        <v>-14.7</v>
      </c>
      <c r="M16">
        <v>-14.4</v>
      </c>
      <c r="N16">
        <v>-14</v>
      </c>
      <c r="O16">
        <v>-13.8</v>
      </c>
      <c r="P16">
        <v>-13.5</v>
      </c>
      <c r="Q16">
        <v>-13.2</v>
      </c>
      <c r="R16">
        <v>-13.1</v>
      </c>
      <c r="S16">
        <v>1</v>
      </c>
      <c r="T16">
        <f t="shared" si="0"/>
        <v>1</v>
      </c>
      <c r="U16" t="s">
        <v>328</v>
      </c>
    </row>
    <row r="17" spans="1:21">
      <c r="B17" s="188" t="s">
        <v>515</v>
      </c>
      <c r="C17" t="s">
        <v>515</v>
      </c>
      <c r="D17">
        <v>102628</v>
      </c>
      <c r="E17">
        <v>59.44</v>
      </c>
      <c r="F17">
        <v>17.940000000000001</v>
      </c>
      <c r="G17">
        <v>-16.8</v>
      </c>
      <c r="H17">
        <v>-16</v>
      </c>
      <c r="I17">
        <v>-15.3</v>
      </c>
      <c r="J17">
        <v>-14.7</v>
      </c>
      <c r="K17">
        <v>-14.2</v>
      </c>
      <c r="L17">
        <v>-13.8</v>
      </c>
      <c r="M17">
        <v>-13.7</v>
      </c>
      <c r="N17">
        <v>-13.2</v>
      </c>
      <c r="O17">
        <v>-12.9</v>
      </c>
      <c r="P17">
        <v>-12.7</v>
      </c>
      <c r="Q17">
        <v>-12.4</v>
      </c>
      <c r="R17">
        <v>-12.2</v>
      </c>
      <c r="S17">
        <v>1</v>
      </c>
      <c r="T17">
        <f t="shared" si="0"/>
        <v>1</v>
      </c>
      <c r="U17" t="s">
        <v>328</v>
      </c>
    </row>
    <row r="18" spans="1:21">
      <c r="B18" s="188" t="s">
        <v>516</v>
      </c>
      <c r="C18" t="s">
        <v>516</v>
      </c>
      <c r="D18">
        <v>102641</v>
      </c>
      <c r="E18">
        <v>59.36</v>
      </c>
      <c r="F18">
        <v>18</v>
      </c>
      <c r="G18">
        <v>-16.2</v>
      </c>
      <c r="H18">
        <v>-15.5</v>
      </c>
      <c r="I18">
        <v>-14.8</v>
      </c>
      <c r="J18">
        <v>-14.2</v>
      </c>
      <c r="K18">
        <v>-13.7</v>
      </c>
      <c r="L18">
        <v>-13.2</v>
      </c>
      <c r="M18">
        <v>-13.2</v>
      </c>
      <c r="N18">
        <v>-12.9</v>
      </c>
      <c r="O18">
        <v>-12.4</v>
      </c>
      <c r="P18">
        <v>-12.3</v>
      </c>
      <c r="Q18">
        <v>-11.9</v>
      </c>
      <c r="R18">
        <v>-11.8</v>
      </c>
      <c r="S18">
        <v>1</v>
      </c>
      <c r="T18">
        <f t="shared" si="0"/>
        <v>1</v>
      </c>
      <c r="U18" t="s">
        <v>328</v>
      </c>
    </row>
    <row r="19" spans="1:21">
      <c r="B19" s="188" t="s">
        <v>218</v>
      </c>
      <c r="C19" t="s">
        <v>218</v>
      </c>
      <c r="D19">
        <v>102612</v>
      </c>
      <c r="E19">
        <v>59.28</v>
      </c>
      <c r="F19">
        <v>18.04</v>
      </c>
      <c r="G19">
        <v>-15.5</v>
      </c>
      <c r="H19">
        <v>-14.9</v>
      </c>
      <c r="I19">
        <v>-14.4</v>
      </c>
      <c r="J19">
        <v>-13.7</v>
      </c>
      <c r="K19">
        <v>-13.1</v>
      </c>
      <c r="L19">
        <v>-12.8</v>
      </c>
      <c r="M19">
        <v>-12.7</v>
      </c>
      <c r="N19">
        <v>-12.4</v>
      </c>
      <c r="O19">
        <v>-11.9</v>
      </c>
      <c r="P19">
        <v>-11.9</v>
      </c>
      <c r="Q19">
        <v>-11.6</v>
      </c>
      <c r="R19">
        <v>-11.4</v>
      </c>
      <c r="S19">
        <v>1</v>
      </c>
      <c r="T19">
        <f t="shared" si="0"/>
        <v>1</v>
      </c>
      <c r="U19" t="s">
        <v>328</v>
      </c>
    </row>
    <row r="20" spans="1:21">
      <c r="B20" s="188" t="s">
        <v>53</v>
      </c>
      <c r="C20" t="s">
        <v>53</v>
      </c>
      <c r="D20">
        <v>102613</v>
      </c>
      <c r="E20">
        <v>59.35</v>
      </c>
      <c r="F20">
        <v>17.95</v>
      </c>
      <c r="G20">
        <v>-16.2</v>
      </c>
      <c r="H20">
        <v>-15.5</v>
      </c>
      <c r="I20">
        <v>-14.8</v>
      </c>
      <c r="J20">
        <v>-14.2</v>
      </c>
      <c r="K20">
        <v>-13.7</v>
      </c>
      <c r="L20">
        <v>-13.2</v>
      </c>
      <c r="M20">
        <v>-13.2</v>
      </c>
      <c r="N20">
        <v>-12.9</v>
      </c>
      <c r="O20">
        <v>-12.4</v>
      </c>
      <c r="P20">
        <v>-12.3</v>
      </c>
      <c r="Q20">
        <v>-11.9</v>
      </c>
      <c r="R20">
        <v>-11.8</v>
      </c>
      <c r="S20">
        <v>1</v>
      </c>
      <c r="T20">
        <f t="shared" si="0"/>
        <v>1</v>
      </c>
      <c r="U20" t="s">
        <v>328</v>
      </c>
    </row>
    <row r="21" spans="1:21">
      <c r="B21" s="188" t="s">
        <v>519</v>
      </c>
      <c r="C21" t="s">
        <v>519</v>
      </c>
      <c r="D21">
        <v>102640</v>
      </c>
      <c r="E21">
        <v>59.38</v>
      </c>
      <c r="F21">
        <v>17.96</v>
      </c>
      <c r="G21">
        <v>-16.2</v>
      </c>
      <c r="H21">
        <v>-15.5</v>
      </c>
      <c r="I21">
        <v>-14.8</v>
      </c>
      <c r="J21">
        <v>-14.2</v>
      </c>
      <c r="K21">
        <v>-13.7</v>
      </c>
      <c r="L21">
        <v>-13.2</v>
      </c>
      <c r="M21">
        <v>-13.2</v>
      </c>
      <c r="N21">
        <v>-12.9</v>
      </c>
      <c r="O21">
        <v>-12.4</v>
      </c>
      <c r="P21">
        <v>-12.3</v>
      </c>
      <c r="Q21">
        <v>-11.9</v>
      </c>
      <c r="R21">
        <v>-11.8</v>
      </c>
      <c r="S21">
        <v>1</v>
      </c>
      <c r="T21">
        <f t="shared" si="0"/>
        <v>1</v>
      </c>
      <c r="U21" t="s">
        <v>328</v>
      </c>
    </row>
    <row r="22" spans="1:21">
      <c r="B22" s="188" t="s">
        <v>109</v>
      </c>
      <c r="C22" t="s">
        <v>109</v>
      </c>
      <c r="D22">
        <v>102608</v>
      </c>
      <c r="E22">
        <v>59.19</v>
      </c>
      <c r="F22">
        <v>17.63</v>
      </c>
      <c r="G22">
        <v>-16.3</v>
      </c>
      <c r="H22">
        <v>-15.5</v>
      </c>
      <c r="I22">
        <v>-14.7</v>
      </c>
      <c r="J22">
        <v>-14.2</v>
      </c>
      <c r="K22">
        <v>-13.7</v>
      </c>
      <c r="L22">
        <v>-13.1</v>
      </c>
      <c r="M22">
        <v>-13.1</v>
      </c>
      <c r="N22">
        <v>-12.8</v>
      </c>
      <c r="O22">
        <v>-12.3</v>
      </c>
      <c r="P22">
        <v>-12.3</v>
      </c>
      <c r="Q22">
        <v>-12</v>
      </c>
      <c r="R22">
        <v>-11.8</v>
      </c>
      <c r="S22">
        <v>1</v>
      </c>
      <c r="T22">
        <f t="shared" si="0"/>
        <v>1</v>
      </c>
      <c r="U22" t="s">
        <v>328</v>
      </c>
    </row>
    <row r="23" spans="1:21">
      <c r="B23" s="188" t="s">
        <v>528</v>
      </c>
      <c r="C23" t="s">
        <v>528</v>
      </c>
      <c r="D23">
        <v>102611</v>
      </c>
      <c r="E23">
        <v>59.25</v>
      </c>
      <c r="F23">
        <v>18.28</v>
      </c>
      <c r="G23">
        <v>-14.9</v>
      </c>
      <c r="H23">
        <v>-14.5</v>
      </c>
      <c r="I23">
        <v>-14</v>
      </c>
      <c r="J23">
        <v>-13.3</v>
      </c>
      <c r="K23">
        <v>-12.9</v>
      </c>
      <c r="L23">
        <v>-12.6</v>
      </c>
      <c r="M23">
        <v>-12.5</v>
      </c>
      <c r="N23">
        <v>-12.1</v>
      </c>
      <c r="O23">
        <v>-11.9</v>
      </c>
      <c r="P23">
        <v>-11.7</v>
      </c>
      <c r="Q23">
        <v>-11.4</v>
      </c>
      <c r="R23">
        <v>-11.3</v>
      </c>
      <c r="S23">
        <v>1</v>
      </c>
      <c r="T23">
        <f t="shared" si="0"/>
        <v>1</v>
      </c>
      <c r="U23" t="s">
        <v>328</v>
      </c>
    </row>
    <row r="24" spans="1:21">
      <c r="B24" s="188" t="s">
        <v>529</v>
      </c>
      <c r="C24" t="s">
        <v>529</v>
      </c>
      <c r="D24">
        <v>102629</v>
      </c>
      <c r="E24">
        <v>59.45</v>
      </c>
      <c r="F24">
        <v>18.09</v>
      </c>
      <c r="G24">
        <v>-16.600000000000001</v>
      </c>
      <c r="H24">
        <v>-15.7</v>
      </c>
      <c r="I24">
        <v>-15</v>
      </c>
      <c r="J24">
        <v>-14.4</v>
      </c>
      <c r="K24">
        <v>-13.9</v>
      </c>
      <c r="L24">
        <v>-13.5</v>
      </c>
      <c r="M24">
        <v>-13.4</v>
      </c>
      <c r="N24">
        <v>-13</v>
      </c>
      <c r="O24">
        <v>-12.8</v>
      </c>
      <c r="P24">
        <v>-12.5</v>
      </c>
      <c r="Q24">
        <v>-12.2</v>
      </c>
      <c r="R24">
        <v>-11.9</v>
      </c>
      <c r="S24">
        <v>1</v>
      </c>
      <c r="T24">
        <f t="shared" si="0"/>
        <v>1</v>
      </c>
      <c r="U24" t="s">
        <v>328</v>
      </c>
    </row>
    <row r="25" spans="1:21">
      <c r="B25" s="188" t="s">
        <v>533</v>
      </c>
      <c r="C25" t="s">
        <v>533</v>
      </c>
      <c r="D25">
        <v>102607</v>
      </c>
      <c r="E25">
        <v>59.52</v>
      </c>
      <c r="F25">
        <v>17.64</v>
      </c>
      <c r="G25">
        <v>-17.399999999999999</v>
      </c>
      <c r="H25">
        <v>-16.600000000000001</v>
      </c>
      <c r="I25">
        <v>-15.8</v>
      </c>
      <c r="J25">
        <v>-15.5</v>
      </c>
      <c r="K25">
        <v>-14.6</v>
      </c>
      <c r="L25">
        <v>-14.4</v>
      </c>
      <c r="M25">
        <v>-14.2</v>
      </c>
      <c r="N25">
        <v>-13.8</v>
      </c>
      <c r="O25">
        <v>-13.6</v>
      </c>
      <c r="P25">
        <v>-13.2</v>
      </c>
      <c r="Q25">
        <v>-12.9</v>
      </c>
      <c r="R25">
        <v>-12.7</v>
      </c>
      <c r="S25">
        <v>1</v>
      </c>
      <c r="T25">
        <f t="shared" si="0"/>
        <v>1</v>
      </c>
      <c r="U25" t="s">
        <v>328</v>
      </c>
    </row>
    <row r="26" spans="1:21">
      <c r="B26" s="188" t="s">
        <v>534</v>
      </c>
      <c r="C26" t="s">
        <v>534</v>
      </c>
      <c r="D26">
        <v>102639</v>
      </c>
      <c r="E26">
        <v>59.52</v>
      </c>
      <c r="F26">
        <v>17.920000000000002</v>
      </c>
      <c r="G26">
        <v>-17.100000000000001</v>
      </c>
      <c r="H26">
        <v>-16.399999999999999</v>
      </c>
      <c r="I26">
        <v>-15.7</v>
      </c>
      <c r="J26">
        <v>-15.1</v>
      </c>
      <c r="K26">
        <v>-14.6</v>
      </c>
      <c r="L26">
        <v>-14.1</v>
      </c>
      <c r="M26">
        <v>-13.9</v>
      </c>
      <c r="N26">
        <v>-13.5</v>
      </c>
      <c r="O26">
        <v>-13.3</v>
      </c>
      <c r="P26">
        <v>-13</v>
      </c>
      <c r="Q26">
        <v>-12.7</v>
      </c>
      <c r="R26">
        <v>-12.7</v>
      </c>
      <c r="S26">
        <v>1</v>
      </c>
      <c r="T26">
        <f t="shared" si="0"/>
        <v>1</v>
      </c>
      <c r="U26" t="s">
        <v>328</v>
      </c>
    </row>
    <row r="27" spans="1:21">
      <c r="B27" s="188" t="s">
        <v>537</v>
      </c>
      <c r="C27" t="s">
        <v>537</v>
      </c>
      <c r="D27">
        <v>102649</v>
      </c>
      <c r="E27">
        <v>59.59</v>
      </c>
      <c r="F27">
        <v>18.2</v>
      </c>
      <c r="G27">
        <v>-17.100000000000001</v>
      </c>
      <c r="H27">
        <v>-16.2</v>
      </c>
      <c r="I27">
        <v>-15.6</v>
      </c>
      <c r="J27">
        <v>-14.8</v>
      </c>
      <c r="K27">
        <v>-14.2</v>
      </c>
      <c r="L27">
        <v>-14</v>
      </c>
      <c r="M27">
        <v>-13.7</v>
      </c>
      <c r="N27">
        <v>-13.3</v>
      </c>
      <c r="O27">
        <v>-13.1</v>
      </c>
      <c r="P27">
        <v>-12.8</v>
      </c>
      <c r="Q27">
        <v>-12.5</v>
      </c>
      <c r="R27">
        <v>-12.5</v>
      </c>
      <c r="S27">
        <v>1</v>
      </c>
      <c r="T27">
        <f t="shared" si="0"/>
        <v>1</v>
      </c>
      <c r="U27" t="s">
        <v>328</v>
      </c>
    </row>
    <row r="28" spans="1:21">
      <c r="B28" s="188" t="s">
        <v>539</v>
      </c>
      <c r="C28" t="s">
        <v>539</v>
      </c>
      <c r="D28">
        <v>102614</v>
      </c>
      <c r="E28">
        <v>59.4</v>
      </c>
      <c r="F28">
        <v>18.34</v>
      </c>
      <c r="G28">
        <v>-15.2</v>
      </c>
      <c r="H28">
        <v>-14.8</v>
      </c>
      <c r="I28">
        <v>-14.2</v>
      </c>
      <c r="J28">
        <v>-13.4</v>
      </c>
      <c r="K28">
        <v>-13.1</v>
      </c>
      <c r="L28">
        <v>-12.9</v>
      </c>
      <c r="M28">
        <v>-12.6</v>
      </c>
      <c r="N28">
        <v>-12.3</v>
      </c>
      <c r="O28">
        <v>-12</v>
      </c>
      <c r="P28">
        <v>-11.8</v>
      </c>
      <c r="Q28">
        <v>-11.5</v>
      </c>
      <c r="R28">
        <v>-11.3</v>
      </c>
      <c r="S28">
        <v>1</v>
      </c>
      <c r="T28">
        <f t="shared" si="0"/>
        <v>1</v>
      </c>
      <c r="U28" t="s">
        <v>328</v>
      </c>
    </row>
    <row r="29" spans="1:21">
      <c r="B29" s="188" t="s">
        <v>543</v>
      </c>
      <c r="C29" t="s">
        <v>543</v>
      </c>
      <c r="D29">
        <v>102625</v>
      </c>
      <c r="E29">
        <v>59.33</v>
      </c>
      <c r="F29">
        <v>18.39</v>
      </c>
      <c r="G29">
        <v>-14.7</v>
      </c>
      <c r="H29">
        <v>-14.5</v>
      </c>
      <c r="I29">
        <v>-13.9</v>
      </c>
      <c r="J29">
        <v>-13.2</v>
      </c>
      <c r="K29">
        <v>-12.9</v>
      </c>
      <c r="L29">
        <v>-12.6</v>
      </c>
      <c r="M29">
        <v>-12.5</v>
      </c>
      <c r="N29">
        <v>-12.1</v>
      </c>
      <c r="O29">
        <v>-12</v>
      </c>
      <c r="P29">
        <v>-11.7</v>
      </c>
      <c r="Q29">
        <v>-11.5</v>
      </c>
      <c r="R29">
        <v>-11.2</v>
      </c>
      <c r="S29">
        <v>1</v>
      </c>
      <c r="T29">
        <f t="shared" si="0"/>
        <v>1</v>
      </c>
      <c r="U29" t="s">
        <v>328</v>
      </c>
    </row>
    <row r="30" spans="1:21">
      <c r="B30" s="188" t="s">
        <v>550</v>
      </c>
      <c r="C30" t="s">
        <v>550</v>
      </c>
      <c r="D30">
        <v>102644</v>
      </c>
      <c r="E30">
        <v>59.47</v>
      </c>
      <c r="F30">
        <v>18.32</v>
      </c>
      <c r="G30">
        <v>-15.7</v>
      </c>
      <c r="H30">
        <v>-15.3</v>
      </c>
      <c r="I30">
        <v>-14.6</v>
      </c>
      <c r="J30">
        <v>-13.9</v>
      </c>
      <c r="K30">
        <v>-13.4</v>
      </c>
      <c r="L30">
        <v>-13.3</v>
      </c>
      <c r="M30">
        <v>-13</v>
      </c>
      <c r="N30">
        <v>-12.6</v>
      </c>
      <c r="O30">
        <v>-12.4</v>
      </c>
      <c r="P30">
        <v>-12.2</v>
      </c>
      <c r="Q30">
        <v>-11.9</v>
      </c>
      <c r="R30">
        <v>-11.6</v>
      </c>
      <c r="S30">
        <v>1</v>
      </c>
      <c r="T30">
        <f t="shared" si="0"/>
        <v>1</v>
      </c>
      <c r="U30" t="s">
        <v>328</v>
      </c>
    </row>
    <row r="31" spans="1:21">
      <c r="B31" s="188" t="s">
        <v>461</v>
      </c>
      <c r="C31" t="s">
        <v>461</v>
      </c>
      <c r="D31">
        <v>102332</v>
      </c>
      <c r="E31">
        <v>56.9</v>
      </c>
      <c r="F31">
        <v>14.56</v>
      </c>
      <c r="G31">
        <v>-15</v>
      </c>
      <c r="H31">
        <v>-13.8</v>
      </c>
      <c r="I31">
        <v>-13.4</v>
      </c>
      <c r="J31">
        <v>-13</v>
      </c>
      <c r="K31">
        <v>-12.4</v>
      </c>
      <c r="L31">
        <v>-12.4</v>
      </c>
      <c r="M31">
        <v>-12.4</v>
      </c>
      <c r="N31">
        <v>-12.2</v>
      </c>
      <c r="O31">
        <v>-11.9</v>
      </c>
      <c r="P31">
        <v>-11.6</v>
      </c>
      <c r="Q31">
        <v>-11.3</v>
      </c>
      <c r="R31">
        <v>-11</v>
      </c>
      <c r="S31">
        <v>1</v>
      </c>
      <c r="T31">
        <f t="shared" si="0"/>
        <v>1</v>
      </c>
      <c r="U31" t="s">
        <v>329</v>
      </c>
    </row>
    <row r="32" spans="1:21">
      <c r="A32" t="s">
        <v>489</v>
      </c>
      <c r="B32" s="188" t="s">
        <v>435</v>
      </c>
      <c r="C32" t="s">
        <v>489</v>
      </c>
      <c r="D32">
        <v>102516</v>
      </c>
      <c r="E32">
        <v>59.87</v>
      </c>
      <c r="F32">
        <v>15.02</v>
      </c>
      <c r="G32">
        <v>-19.2</v>
      </c>
      <c r="H32">
        <v>-18.399999999999999</v>
      </c>
      <c r="I32">
        <v>-17.8</v>
      </c>
      <c r="J32">
        <v>-17.399999999999999</v>
      </c>
      <c r="K32">
        <v>-16.600000000000001</v>
      </c>
      <c r="L32">
        <v>-16.3</v>
      </c>
      <c r="M32">
        <v>-16.3</v>
      </c>
      <c r="N32">
        <v>-16</v>
      </c>
      <c r="O32">
        <v>-15.7</v>
      </c>
      <c r="P32">
        <v>-15.3</v>
      </c>
      <c r="Q32">
        <v>-15</v>
      </c>
      <c r="R32">
        <v>-14.8</v>
      </c>
      <c r="S32">
        <v>1</v>
      </c>
      <c r="T32">
        <f t="shared" si="0"/>
        <v>1.2</v>
      </c>
      <c r="U32" t="s">
        <v>329</v>
      </c>
    </row>
    <row r="33" spans="1:22">
      <c r="B33" s="188" t="s">
        <v>494</v>
      </c>
      <c r="C33" t="s">
        <v>494</v>
      </c>
      <c r="D33">
        <v>102310</v>
      </c>
      <c r="E33">
        <v>56.75</v>
      </c>
      <c r="F33">
        <v>15.28</v>
      </c>
      <c r="G33">
        <v>-14.5</v>
      </c>
      <c r="H33">
        <v>-13.5</v>
      </c>
      <c r="I33">
        <v>-13.2</v>
      </c>
      <c r="J33">
        <v>-12.8</v>
      </c>
      <c r="K33">
        <v>-12.2</v>
      </c>
      <c r="L33">
        <v>-12.2</v>
      </c>
      <c r="M33">
        <v>-11.9</v>
      </c>
      <c r="N33">
        <v>-11.8</v>
      </c>
      <c r="O33">
        <v>-11.7</v>
      </c>
      <c r="P33">
        <v>-11.2</v>
      </c>
      <c r="Q33">
        <v>-10.8</v>
      </c>
      <c r="R33">
        <v>-10.6</v>
      </c>
      <c r="S33">
        <v>1</v>
      </c>
      <c r="T33">
        <f t="shared" si="0"/>
        <v>1</v>
      </c>
      <c r="U33" t="s">
        <v>329</v>
      </c>
    </row>
    <row r="34" spans="1:22">
      <c r="B34" s="188" t="s">
        <v>497</v>
      </c>
      <c r="C34" t="s">
        <v>497</v>
      </c>
      <c r="D34">
        <v>102312</v>
      </c>
      <c r="E34">
        <v>56.83</v>
      </c>
      <c r="F34">
        <v>13.95</v>
      </c>
      <c r="G34">
        <v>-15.3</v>
      </c>
      <c r="H34">
        <v>-14</v>
      </c>
      <c r="I34">
        <v>-13.7</v>
      </c>
      <c r="J34">
        <v>-13.2</v>
      </c>
      <c r="K34">
        <v>-12.8</v>
      </c>
      <c r="L34">
        <v>-12.5</v>
      </c>
      <c r="M34">
        <v>-12.5</v>
      </c>
      <c r="N34">
        <v>-12.4</v>
      </c>
      <c r="O34">
        <v>-12.2</v>
      </c>
      <c r="P34">
        <v>-11.9</v>
      </c>
      <c r="Q34">
        <v>-11.5</v>
      </c>
      <c r="R34">
        <v>-11.4</v>
      </c>
      <c r="S34">
        <v>1</v>
      </c>
      <c r="T34">
        <f t="shared" si="0"/>
        <v>1</v>
      </c>
      <c r="U34" t="s">
        <v>329</v>
      </c>
    </row>
    <row r="35" spans="1:22">
      <c r="B35" s="188" t="s">
        <v>499</v>
      </c>
      <c r="C35" t="s">
        <v>499</v>
      </c>
      <c r="D35">
        <v>102303</v>
      </c>
      <c r="E35">
        <v>56.46</v>
      </c>
      <c r="F35">
        <v>13.6</v>
      </c>
      <c r="G35">
        <v>-14.7</v>
      </c>
      <c r="H35">
        <v>-13.3</v>
      </c>
      <c r="I35">
        <v>-13</v>
      </c>
      <c r="J35">
        <v>-12.6</v>
      </c>
      <c r="K35">
        <v>-12.1</v>
      </c>
      <c r="L35">
        <v>-12.1</v>
      </c>
      <c r="M35">
        <v>-12.1</v>
      </c>
      <c r="N35">
        <v>-11.8</v>
      </c>
      <c r="O35">
        <v>-11.7</v>
      </c>
      <c r="P35">
        <v>-11.4</v>
      </c>
      <c r="Q35">
        <v>-11.2</v>
      </c>
      <c r="R35">
        <v>-11.1</v>
      </c>
      <c r="S35">
        <v>1</v>
      </c>
      <c r="T35">
        <f t="shared" si="0"/>
        <v>1</v>
      </c>
      <c r="U35" t="s">
        <v>329</v>
      </c>
    </row>
    <row r="36" spans="1:22">
      <c r="B36" s="188" t="s">
        <v>525</v>
      </c>
      <c r="C36" t="s">
        <v>525</v>
      </c>
      <c r="D36">
        <v>102305</v>
      </c>
      <c r="E36">
        <v>56.53</v>
      </c>
      <c r="F36">
        <v>14.97</v>
      </c>
      <c r="G36">
        <v>-13.9</v>
      </c>
      <c r="H36">
        <v>-12.8</v>
      </c>
      <c r="I36">
        <v>-12.5</v>
      </c>
      <c r="J36">
        <v>-12.1</v>
      </c>
      <c r="K36">
        <v>-11.7</v>
      </c>
      <c r="L36">
        <v>-11.7</v>
      </c>
      <c r="M36">
        <v>-11.4</v>
      </c>
      <c r="N36">
        <v>-11.2</v>
      </c>
      <c r="O36">
        <v>-10.9</v>
      </c>
      <c r="P36">
        <v>-10.7</v>
      </c>
      <c r="Q36">
        <v>-10.199999999999999</v>
      </c>
      <c r="R36">
        <v>-10.1</v>
      </c>
      <c r="S36">
        <v>1</v>
      </c>
      <c r="T36">
        <f t="shared" si="0"/>
        <v>1</v>
      </c>
      <c r="U36" t="s">
        <v>329</v>
      </c>
    </row>
    <row r="37" spans="1:22">
      <c r="B37" s="188" t="s">
        <v>547</v>
      </c>
      <c r="C37" t="s">
        <v>547</v>
      </c>
      <c r="D37">
        <v>102304</v>
      </c>
      <c r="E37">
        <v>56.56</v>
      </c>
      <c r="F37">
        <v>14.15</v>
      </c>
      <c r="G37">
        <v>-14.7</v>
      </c>
      <c r="H37">
        <v>-13.4</v>
      </c>
      <c r="I37">
        <v>-13</v>
      </c>
      <c r="J37">
        <v>-12.7</v>
      </c>
      <c r="K37">
        <v>-12.4</v>
      </c>
      <c r="L37">
        <v>-12.1</v>
      </c>
      <c r="M37">
        <v>-12.1</v>
      </c>
      <c r="N37">
        <v>-12</v>
      </c>
      <c r="O37">
        <v>-11.8</v>
      </c>
      <c r="P37">
        <v>-11.6</v>
      </c>
      <c r="Q37">
        <v>-11.2</v>
      </c>
      <c r="R37">
        <v>-11.1</v>
      </c>
      <c r="S37">
        <v>1</v>
      </c>
      <c r="T37">
        <f t="shared" si="0"/>
        <v>1</v>
      </c>
      <c r="U37" t="s">
        <v>329</v>
      </c>
    </row>
    <row r="38" spans="1:22">
      <c r="B38" s="188" t="s">
        <v>115</v>
      </c>
      <c r="C38" t="s">
        <v>115</v>
      </c>
      <c r="D38">
        <v>102311</v>
      </c>
      <c r="E38">
        <v>56.88</v>
      </c>
      <c r="F38">
        <v>14.79</v>
      </c>
      <c r="G38">
        <v>-15</v>
      </c>
      <c r="H38">
        <v>-13.8</v>
      </c>
      <c r="I38">
        <v>-13.4</v>
      </c>
      <c r="J38">
        <v>-13</v>
      </c>
      <c r="K38">
        <v>-12.5</v>
      </c>
      <c r="L38">
        <v>-12.5</v>
      </c>
      <c r="M38">
        <v>-12.3</v>
      </c>
      <c r="N38">
        <v>-12.1</v>
      </c>
      <c r="O38">
        <v>-11.9</v>
      </c>
      <c r="P38">
        <v>-11.5</v>
      </c>
      <c r="Q38">
        <v>-11.2</v>
      </c>
      <c r="R38">
        <v>-11</v>
      </c>
      <c r="S38">
        <v>1</v>
      </c>
      <c r="T38">
        <f t="shared" si="0"/>
        <v>1</v>
      </c>
      <c r="U38" t="s">
        <v>329</v>
      </c>
    </row>
    <row r="39" spans="1:22" ht="14" customHeight="1">
      <c r="A39" t="s">
        <v>574</v>
      </c>
      <c r="B39" s="186" t="s">
        <v>341</v>
      </c>
      <c r="C39" t="s">
        <v>574</v>
      </c>
      <c r="D39">
        <v>102521</v>
      </c>
      <c r="E39">
        <v>59.89</v>
      </c>
      <c r="F39">
        <v>12.31</v>
      </c>
      <c r="G39">
        <v>-21.1</v>
      </c>
      <c r="H39">
        <v>-20.6</v>
      </c>
      <c r="I39">
        <v>-19.8</v>
      </c>
      <c r="J39">
        <v>-18.899999999999999</v>
      </c>
      <c r="K39">
        <v>-18.600000000000001</v>
      </c>
      <c r="L39">
        <v>-18.2</v>
      </c>
      <c r="M39">
        <v>-18.100000000000001</v>
      </c>
      <c r="N39">
        <v>-18</v>
      </c>
      <c r="O39">
        <v>-18</v>
      </c>
      <c r="P39">
        <v>-17.8</v>
      </c>
      <c r="Q39">
        <v>-17.5</v>
      </c>
      <c r="R39">
        <v>-17.100000000000001</v>
      </c>
      <c r="S39">
        <v>1.1000000000000001</v>
      </c>
      <c r="T39">
        <f t="shared" si="0"/>
        <v>1.1000000000000001</v>
      </c>
      <c r="U39" s="41" t="s">
        <v>341</v>
      </c>
      <c r="V39" t="s">
        <v>573</v>
      </c>
    </row>
    <row r="40" spans="1:22">
      <c r="A40" t="s">
        <v>465</v>
      </c>
      <c r="B40" s="187" t="s">
        <v>251</v>
      </c>
      <c r="C40" t="s">
        <v>465</v>
      </c>
      <c r="D40">
        <v>102717</v>
      </c>
      <c r="E40">
        <v>61.36</v>
      </c>
      <c r="F40">
        <v>15.72</v>
      </c>
      <c r="G40">
        <v>-23.5</v>
      </c>
      <c r="H40">
        <v>-22.8</v>
      </c>
      <c r="I40">
        <v>-22.1</v>
      </c>
      <c r="J40">
        <v>-21</v>
      </c>
      <c r="K40">
        <v>-20.8</v>
      </c>
      <c r="L40">
        <v>-20.3</v>
      </c>
      <c r="M40">
        <v>-20</v>
      </c>
      <c r="N40">
        <v>-19.899999999999999</v>
      </c>
      <c r="O40">
        <v>-19.399999999999999</v>
      </c>
      <c r="P40">
        <v>-19.100000000000001</v>
      </c>
      <c r="Q40">
        <v>-18.7</v>
      </c>
      <c r="R40">
        <v>-18.399999999999999</v>
      </c>
      <c r="S40">
        <v>1.3</v>
      </c>
      <c r="T40">
        <f t="shared" si="0"/>
        <v>1.3</v>
      </c>
      <c r="U40" s="41" t="s">
        <v>251</v>
      </c>
      <c r="V40" t="s">
        <v>211</v>
      </c>
    </row>
    <row r="41" spans="1:22">
      <c r="B41" s="188" t="s">
        <v>466</v>
      </c>
      <c r="C41" t="s">
        <v>466</v>
      </c>
      <c r="D41">
        <v>102417</v>
      </c>
      <c r="E41">
        <v>59.37</v>
      </c>
      <c r="F41">
        <v>16.5</v>
      </c>
      <c r="G41">
        <v>-18.3</v>
      </c>
      <c r="H41">
        <v>-17.8</v>
      </c>
      <c r="I41">
        <v>-17</v>
      </c>
      <c r="J41">
        <v>-16.2</v>
      </c>
      <c r="K41">
        <v>-15.7</v>
      </c>
      <c r="L41">
        <v>-15.3</v>
      </c>
      <c r="M41">
        <v>-15.1</v>
      </c>
      <c r="N41">
        <v>-14.9</v>
      </c>
      <c r="O41">
        <v>-14.5</v>
      </c>
      <c r="P41">
        <v>-14</v>
      </c>
      <c r="Q41">
        <v>-13.9</v>
      </c>
      <c r="R41">
        <v>-13.9</v>
      </c>
      <c r="S41">
        <v>1</v>
      </c>
      <c r="T41">
        <f t="shared" si="0"/>
        <v>1</v>
      </c>
      <c r="U41" t="s">
        <v>330</v>
      </c>
    </row>
    <row r="42" spans="1:22">
      <c r="B42" s="188" t="s">
        <v>470</v>
      </c>
      <c r="C42" t="s">
        <v>470</v>
      </c>
      <c r="D42">
        <v>102412</v>
      </c>
      <c r="E42">
        <v>59.06</v>
      </c>
      <c r="F42">
        <v>16.600000000000001</v>
      </c>
      <c r="G42">
        <v>-17.899999999999999</v>
      </c>
      <c r="H42">
        <v>-17.2</v>
      </c>
      <c r="I42">
        <v>-16.2</v>
      </c>
      <c r="J42">
        <v>-15.5</v>
      </c>
      <c r="K42">
        <v>-14.8</v>
      </c>
      <c r="L42">
        <v>-14.7</v>
      </c>
      <c r="M42">
        <v>-14.4</v>
      </c>
      <c r="N42">
        <v>-14.1</v>
      </c>
      <c r="O42">
        <v>-13.7</v>
      </c>
      <c r="P42">
        <v>-13.4</v>
      </c>
      <c r="Q42">
        <v>-13</v>
      </c>
      <c r="R42">
        <v>-12.7</v>
      </c>
      <c r="S42">
        <v>1</v>
      </c>
      <c r="T42">
        <f t="shared" si="0"/>
        <v>1</v>
      </c>
      <c r="U42" t="s">
        <v>330</v>
      </c>
    </row>
    <row r="43" spans="1:22">
      <c r="B43" s="188" t="s">
        <v>473</v>
      </c>
      <c r="C43" t="s">
        <v>473</v>
      </c>
      <c r="D43">
        <v>102419</v>
      </c>
      <c r="E43">
        <v>59.04</v>
      </c>
      <c r="F43">
        <v>17.309999999999999</v>
      </c>
      <c r="G43">
        <v>-16.2</v>
      </c>
      <c r="H43">
        <v>-15.7</v>
      </c>
      <c r="I43">
        <v>-14.5</v>
      </c>
      <c r="J43">
        <v>-13.9</v>
      </c>
      <c r="K43">
        <v>-13.3</v>
      </c>
      <c r="L43">
        <v>-13.3</v>
      </c>
      <c r="M43">
        <v>-13.1</v>
      </c>
      <c r="N43">
        <v>-12.8</v>
      </c>
      <c r="O43">
        <v>-12.5</v>
      </c>
      <c r="P43">
        <v>-12.3</v>
      </c>
      <c r="Q43">
        <v>-11.8</v>
      </c>
      <c r="R43">
        <v>-11.6</v>
      </c>
      <c r="S43">
        <v>1</v>
      </c>
      <c r="T43">
        <f t="shared" si="0"/>
        <v>1</v>
      </c>
      <c r="U43" t="s">
        <v>330</v>
      </c>
    </row>
    <row r="44" spans="1:22">
      <c r="B44" s="188" t="s">
        <v>487</v>
      </c>
      <c r="C44" t="s">
        <v>487</v>
      </c>
      <c r="D44">
        <v>102411</v>
      </c>
      <c r="E44">
        <v>58.99</v>
      </c>
      <c r="F44">
        <v>16.2</v>
      </c>
      <c r="G44">
        <v>-17.600000000000001</v>
      </c>
      <c r="H44">
        <v>-17.100000000000001</v>
      </c>
      <c r="I44">
        <v>-15.8</v>
      </c>
      <c r="J44">
        <v>-15.5</v>
      </c>
      <c r="K44">
        <v>-14.8</v>
      </c>
      <c r="L44">
        <v>-14.5</v>
      </c>
      <c r="M44">
        <v>-14.2</v>
      </c>
      <c r="N44">
        <v>-14.1</v>
      </c>
      <c r="O44">
        <v>-13.7</v>
      </c>
      <c r="P44">
        <v>-13.3</v>
      </c>
      <c r="Q44">
        <v>-12.9</v>
      </c>
      <c r="R44">
        <v>-12.8</v>
      </c>
      <c r="S44">
        <v>1</v>
      </c>
      <c r="T44">
        <f t="shared" si="0"/>
        <v>1</v>
      </c>
      <c r="U44" t="s">
        <v>330</v>
      </c>
    </row>
    <row r="45" spans="1:22">
      <c r="B45" s="188" t="s">
        <v>112</v>
      </c>
      <c r="C45" t="s">
        <v>112</v>
      </c>
      <c r="D45">
        <v>102409</v>
      </c>
      <c r="E45">
        <v>58.59</v>
      </c>
      <c r="F45">
        <v>16.190000000000001</v>
      </c>
      <c r="G45">
        <v>-16.100000000000001</v>
      </c>
      <c r="H45">
        <v>-15.3</v>
      </c>
      <c r="I45">
        <v>-14.2</v>
      </c>
      <c r="J45">
        <v>-13.9</v>
      </c>
      <c r="K45">
        <v>-13.5</v>
      </c>
      <c r="L45">
        <v>-13.2</v>
      </c>
      <c r="M45">
        <v>-12.9</v>
      </c>
      <c r="N45">
        <v>-12.8</v>
      </c>
      <c r="O45">
        <v>-12.3</v>
      </c>
      <c r="P45">
        <v>-12</v>
      </c>
      <c r="Q45">
        <v>-11.4</v>
      </c>
      <c r="R45">
        <v>-11.4</v>
      </c>
      <c r="S45">
        <v>1</v>
      </c>
      <c r="T45">
        <f t="shared" si="0"/>
        <v>1</v>
      </c>
      <c r="U45" s="344" t="s">
        <v>436</v>
      </c>
    </row>
    <row r="46" spans="1:22">
      <c r="B46" s="188" t="s">
        <v>507</v>
      </c>
      <c r="C46" t="s">
        <v>507</v>
      </c>
      <c r="D46">
        <v>102413</v>
      </c>
      <c r="E46">
        <v>58.76</v>
      </c>
      <c r="F46">
        <v>17.010000000000002</v>
      </c>
      <c r="G46">
        <v>-15.5</v>
      </c>
      <c r="H46">
        <v>-14.2</v>
      </c>
      <c r="I46">
        <v>-13.8</v>
      </c>
      <c r="J46">
        <v>-13.2</v>
      </c>
      <c r="K46">
        <v>-12.7</v>
      </c>
      <c r="L46">
        <v>-12.7</v>
      </c>
      <c r="M46">
        <v>-12.5</v>
      </c>
      <c r="N46">
        <v>-12.2</v>
      </c>
      <c r="O46">
        <v>-11.9</v>
      </c>
      <c r="P46">
        <v>-11.6</v>
      </c>
      <c r="Q46">
        <v>-11.3</v>
      </c>
      <c r="R46">
        <v>-11</v>
      </c>
      <c r="S46">
        <v>1</v>
      </c>
      <c r="T46">
        <f t="shared" si="0"/>
        <v>1</v>
      </c>
      <c r="U46" t="s">
        <v>330</v>
      </c>
    </row>
    <row r="47" spans="1:22">
      <c r="B47" s="188" t="s">
        <v>518</v>
      </c>
      <c r="C47" t="s">
        <v>518</v>
      </c>
      <c r="D47">
        <v>102416</v>
      </c>
      <c r="E47">
        <v>59.37</v>
      </c>
      <c r="F47">
        <v>17.02</v>
      </c>
      <c r="G47">
        <v>-18.600000000000001</v>
      </c>
      <c r="H47">
        <v>-17.7</v>
      </c>
      <c r="I47">
        <v>-16.899999999999999</v>
      </c>
      <c r="J47">
        <v>-16.3</v>
      </c>
      <c r="K47">
        <v>-15.8</v>
      </c>
      <c r="L47">
        <v>-15.2</v>
      </c>
      <c r="M47">
        <v>-15</v>
      </c>
      <c r="N47">
        <v>-14.8</v>
      </c>
      <c r="O47">
        <v>-14.5</v>
      </c>
      <c r="P47">
        <v>-14</v>
      </c>
      <c r="Q47">
        <v>-13.9</v>
      </c>
      <c r="R47">
        <v>-13.7</v>
      </c>
      <c r="S47">
        <v>1</v>
      </c>
      <c r="T47">
        <f t="shared" si="0"/>
        <v>1</v>
      </c>
      <c r="U47" t="s">
        <v>330</v>
      </c>
    </row>
    <row r="48" spans="1:22">
      <c r="B48" s="188" t="s">
        <v>527</v>
      </c>
      <c r="C48" t="s">
        <v>527</v>
      </c>
      <c r="D48">
        <v>102415</v>
      </c>
      <c r="E48">
        <v>58.9</v>
      </c>
      <c r="F48">
        <v>17.559999999999999</v>
      </c>
      <c r="G48">
        <v>-14.9</v>
      </c>
      <c r="H48">
        <v>-14</v>
      </c>
      <c r="I48">
        <v>-13.3</v>
      </c>
      <c r="J48">
        <v>-12.8</v>
      </c>
      <c r="K48">
        <v>-12.2</v>
      </c>
      <c r="L48">
        <v>-12.2</v>
      </c>
      <c r="M48">
        <v>-11.9</v>
      </c>
      <c r="N48">
        <v>-11.9</v>
      </c>
      <c r="O48">
        <v>-11.5</v>
      </c>
      <c r="P48">
        <v>-11.2</v>
      </c>
      <c r="Q48">
        <v>-10.8</v>
      </c>
      <c r="R48">
        <v>-10.7</v>
      </c>
      <c r="S48">
        <v>1</v>
      </c>
      <c r="T48">
        <f t="shared" si="0"/>
        <v>1</v>
      </c>
      <c r="U48" t="s">
        <v>330</v>
      </c>
    </row>
    <row r="49" spans="2:21">
      <c r="B49" s="188" t="s">
        <v>541</v>
      </c>
      <c r="C49" t="s">
        <v>541</v>
      </c>
      <c r="D49">
        <v>102410</v>
      </c>
      <c r="E49">
        <v>59.05</v>
      </c>
      <c r="F49">
        <v>15.88</v>
      </c>
      <c r="G49">
        <v>-18</v>
      </c>
      <c r="H49">
        <v>-17.2</v>
      </c>
      <c r="I49">
        <v>-16</v>
      </c>
      <c r="J49">
        <v>-15.7</v>
      </c>
      <c r="K49">
        <v>-15.2</v>
      </c>
      <c r="L49">
        <v>-14.8</v>
      </c>
      <c r="M49">
        <v>-14.5</v>
      </c>
      <c r="N49">
        <v>-14.5</v>
      </c>
      <c r="O49">
        <v>-13.9</v>
      </c>
      <c r="P49">
        <v>-13.5</v>
      </c>
      <c r="Q49">
        <v>-13.2</v>
      </c>
      <c r="R49">
        <v>-12.9</v>
      </c>
      <c r="S49">
        <v>1</v>
      </c>
      <c r="T49">
        <f t="shared" si="0"/>
        <v>1</v>
      </c>
      <c r="U49" t="s">
        <v>330</v>
      </c>
    </row>
    <row r="50" spans="2:21">
      <c r="B50" s="188" t="s">
        <v>467</v>
      </c>
      <c r="C50" t="s">
        <v>467</v>
      </c>
      <c r="D50">
        <v>102313</v>
      </c>
      <c r="E50">
        <v>56.9</v>
      </c>
      <c r="F50">
        <v>12.5</v>
      </c>
      <c r="G50">
        <v>-12.9</v>
      </c>
      <c r="H50">
        <v>-12.2</v>
      </c>
      <c r="I50">
        <v>-11.9</v>
      </c>
      <c r="J50">
        <v>-11.1</v>
      </c>
      <c r="K50">
        <v>-11</v>
      </c>
      <c r="L50">
        <v>-11</v>
      </c>
      <c r="M50">
        <v>-11</v>
      </c>
      <c r="N50">
        <v>-10.9</v>
      </c>
      <c r="O50">
        <v>-10.8</v>
      </c>
      <c r="P50">
        <v>-10.4</v>
      </c>
      <c r="Q50">
        <v>-10.199999999999999</v>
      </c>
      <c r="R50">
        <v>-10.1</v>
      </c>
      <c r="S50">
        <v>0.9</v>
      </c>
      <c r="T50">
        <f t="shared" si="0"/>
        <v>0.9</v>
      </c>
      <c r="U50" t="s">
        <v>254</v>
      </c>
    </row>
    <row r="51" spans="2:21">
      <c r="B51" s="188" t="s">
        <v>476</v>
      </c>
      <c r="C51" t="s">
        <v>476</v>
      </c>
      <c r="D51">
        <v>102302</v>
      </c>
      <c r="E51">
        <v>56.67</v>
      </c>
      <c r="F51">
        <v>12.87</v>
      </c>
      <c r="G51">
        <v>-13.3</v>
      </c>
      <c r="H51">
        <v>-12.3</v>
      </c>
      <c r="I51">
        <v>-11.6</v>
      </c>
      <c r="J51">
        <v>-11.5</v>
      </c>
      <c r="K51">
        <v>-11.1</v>
      </c>
      <c r="L51">
        <v>-11.1</v>
      </c>
      <c r="M51">
        <v>-11.1</v>
      </c>
      <c r="N51">
        <v>-11.1</v>
      </c>
      <c r="O51">
        <v>-10.9</v>
      </c>
      <c r="P51">
        <v>-10.4</v>
      </c>
      <c r="Q51">
        <v>-10.199999999999999</v>
      </c>
      <c r="R51">
        <v>-10.1</v>
      </c>
      <c r="S51">
        <v>0.9</v>
      </c>
      <c r="T51">
        <f t="shared" si="0"/>
        <v>0.9</v>
      </c>
      <c r="U51" t="s">
        <v>254</v>
      </c>
    </row>
    <row r="52" spans="2:21">
      <c r="B52" s="188" t="s">
        <v>493</v>
      </c>
      <c r="C52" t="s">
        <v>493</v>
      </c>
      <c r="D52">
        <v>102301</v>
      </c>
      <c r="E52">
        <v>56.51</v>
      </c>
      <c r="F52">
        <v>13.04</v>
      </c>
      <c r="G52">
        <v>-13</v>
      </c>
      <c r="H52">
        <v>-12.1</v>
      </c>
      <c r="I52">
        <v>-11.4</v>
      </c>
      <c r="J52">
        <v>-11.4</v>
      </c>
      <c r="K52">
        <v>-10.9</v>
      </c>
      <c r="L52">
        <v>-10.9</v>
      </c>
      <c r="M52">
        <v>-10.9</v>
      </c>
      <c r="N52">
        <v>-10.7</v>
      </c>
      <c r="O52">
        <v>-10.7</v>
      </c>
      <c r="P52">
        <v>-10.199999999999999</v>
      </c>
      <c r="Q52">
        <v>-10.1</v>
      </c>
      <c r="R52">
        <v>-9.9</v>
      </c>
      <c r="S52">
        <v>0.9</v>
      </c>
      <c r="T52">
        <f t="shared" si="0"/>
        <v>0.9</v>
      </c>
      <c r="U52" t="s">
        <v>254</v>
      </c>
    </row>
    <row r="53" spans="2:21">
      <c r="B53" s="188" t="s">
        <v>532</v>
      </c>
      <c r="C53" t="s">
        <v>532</v>
      </c>
      <c r="D53">
        <v>102231</v>
      </c>
      <c r="E53">
        <v>57.11</v>
      </c>
      <c r="F53">
        <v>12.78</v>
      </c>
      <c r="G53">
        <v>-14.6</v>
      </c>
      <c r="H53">
        <v>-13.8</v>
      </c>
      <c r="I53">
        <v>-13.3</v>
      </c>
      <c r="J53">
        <v>-12.6</v>
      </c>
      <c r="K53">
        <v>-12.4</v>
      </c>
      <c r="L53">
        <v>-12.4</v>
      </c>
      <c r="M53">
        <v>-12.4</v>
      </c>
      <c r="N53">
        <v>-12.4</v>
      </c>
      <c r="O53">
        <v>-12.2</v>
      </c>
      <c r="P53">
        <v>-11.9</v>
      </c>
      <c r="Q53">
        <v>-11.6</v>
      </c>
      <c r="R53">
        <v>-11.6</v>
      </c>
      <c r="S53">
        <v>0.9</v>
      </c>
      <c r="T53">
        <f t="shared" si="0"/>
        <v>0.9</v>
      </c>
      <c r="U53" t="s">
        <v>254</v>
      </c>
    </row>
    <row r="54" spans="2:21">
      <c r="B54" s="188" t="s">
        <v>490</v>
      </c>
      <c r="C54" t="s">
        <v>490</v>
      </c>
      <c r="D54">
        <v>102315</v>
      </c>
      <c r="E54">
        <v>57.49</v>
      </c>
      <c r="F54">
        <v>12.08</v>
      </c>
      <c r="G54">
        <v>-12.2</v>
      </c>
      <c r="H54">
        <v>-11.4</v>
      </c>
      <c r="I54">
        <v>-11.1</v>
      </c>
      <c r="J54">
        <v>-10.4</v>
      </c>
      <c r="K54">
        <v>-10.4</v>
      </c>
      <c r="L54">
        <v>-10.4</v>
      </c>
      <c r="M54">
        <v>-10.4</v>
      </c>
      <c r="N54">
        <v>-10.4</v>
      </c>
      <c r="O54">
        <v>-10.1</v>
      </c>
      <c r="P54">
        <v>-9.9</v>
      </c>
      <c r="Q54">
        <v>-9.6</v>
      </c>
      <c r="R54">
        <v>-9.4</v>
      </c>
      <c r="S54">
        <v>0.9</v>
      </c>
      <c r="T54">
        <f t="shared" si="0"/>
        <v>0.9</v>
      </c>
      <c r="U54" t="s">
        <v>254</v>
      </c>
    </row>
    <row r="55" spans="2:21">
      <c r="B55" s="188" t="s">
        <v>538</v>
      </c>
      <c r="C55" t="s">
        <v>538</v>
      </c>
      <c r="D55">
        <v>102314</v>
      </c>
      <c r="E55">
        <v>57.11</v>
      </c>
      <c r="F55">
        <v>12.26</v>
      </c>
      <c r="G55">
        <v>-12.7</v>
      </c>
      <c r="H55">
        <v>-11.9</v>
      </c>
      <c r="I55">
        <v>-11.6</v>
      </c>
      <c r="J55">
        <v>-10.9</v>
      </c>
      <c r="K55">
        <v>-10.7</v>
      </c>
      <c r="L55">
        <v>-10.7</v>
      </c>
      <c r="M55">
        <v>-10.7</v>
      </c>
      <c r="N55">
        <v>-10.6</v>
      </c>
      <c r="O55">
        <v>-10.3</v>
      </c>
      <c r="P55">
        <v>-10</v>
      </c>
      <c r="Q55">
        <v>-9.8000000000000007</v>
      </c>
      <c r="R55">
        <v>-9.8000000000000007</v>
      </c>
      <c r="S55">
        <v>0.9</v>
      </c>
      <c r="T55">
        <f t="shared" si="0"/>
        <v>0.9</v>
      </c>
      <c r="U55" t="s">
        <v>254</v>
      </c>
    </row>
    <row r="56" spans="2:21">
      <c r="B56" s="188" t="s">
        <v>469</v>
      </c>
      <c r="C56" t="s">
        <v>469</v>
      </c>
      <c r="D56">
        <v>102408</v>
      </c>
      <c r="E56">
        <v>58.71</v>
      </c>
      <c r="F56">
        <v>15.77</v>
      </c>
      <c r="G56">
        <v>-17.100000000000001</v>
      </c>
      <c r="H56">
        <v>-16.2</v>
      </c>
      <c r="I56">
        <v>-15.1</v>
      </c>
      <c r="J56">
        <v>-14.7</v>
      </c>
      <c r="K56">
        <v>-14.1</v>
      </c>
      <c r="L56">
        <v>-13.9</v>
      </c>
      <c r="M56">
        <v>-13.7</v>
      </c>
      <c r="N56">
        <v>-13.4</v>
      </c>
      <c r="O56">
        <v>-13</v>
      </c>
      <c r="P56">
        <v>-12.5</v>
      </c>
      <c r="Q56">
        <v>-12.1</v>
      </c>
      <c r="R56">
        <v>-11.9</v>
      </c>
      <c r="S56">
        <v>1</v>
      </c>
      <c r="T56">
        <f t="shared" si="0"/>
        <v>1</v>
      </c>
      <c r="U56" t="s">
        <v>436</v>
      </c>
    </row>
    <row r="57" spans="2:21">
      <c r="B57" s="188" t="s">
        <v>488</v>
      </c>
      <c r="C57" t="s">
        <v>488</v>
      </c>
      <c r="D57">
        <v>102403</v>
      </c>
      <c r="E57">
        <v>57.99</v>
      </c>
      <c r="F57">
        <v>15.64</v>
      </c>
      <c r="G57">
        <v>-16.8</v>
      </c>
      <c r="H57">
        <v>-15.9</v>
      </c>
      <c r="I57">
        <v>-14.8</v>
      </c>
      <c r="J57">
        <v>-14.1</v>
      </c>
      <c r="K57">
        <v>-14</v>
      </c>
      <c r="L57">
        <v>-13.9</v>
      </c>
      <c r="M57">
        <v>-13.7</v>
      </c>
      <c r="N57">
        <v>-13.4</v>
      </c>
      <c r="O57">
        <v>-13</v>
      </c>
      <c r="P57">
        <v>-12.6</v>
      </c>
      <c r="Q57">
        <v>-12.2</v>
      </c>
      <c r="R57">
        <v>-11.9</v>
      </c>
      <c r="S57">
        <v>1</v>
      </c>
      <c r="T57">
        <f t="shared" si="0"/>
        <v>1</v>
      </c>
      <c r="U57" t="s">
        <v>436</v>
      </c>
    </row>
    <row r="58" spans="2:21">
      <c r="B58" s="188" t="s">
        <v>496</v>
      </c>
      <c r="C58" t="s">
        <v>496</v>
      </c>
      <c r="D58">
        <v>102406</v>
      </c>
      <c r="E58">
        <v>58.4</v>
      </c>
      <c r="F58">
        <v>15.65</v>
      </c>
      <c r="G58">
        <v>-16.600000000000001</v>
      </c>
      <c r="H58">
        <v>-16</v>
      </c>
      <c r="I58">
        <v>-14.8</v>
      </c>
      <c r="J58">
        <v>-14</v>
      </c>
      <c r="K58">
        <v>-13.5</v>
      </c>
      <c r="L58">
        <v>-13.4</v>
      </c>
      <c r="M58">
        <v>-13.3</v>
      </c>
      <c r="N58">
        <v>-13</v>
      </c>
      <c r="O58">
        <v>-12.6</v>
      </c>
      <c r="P58">
        <v>-12.2</v>
      </c>
      <c r="Q58">
        <v>-11.8</v>
      </c>
      <c r="R58">
        <v>-11.4</v>
      </c>
      <c r="S58">
        <v>1</v>
      </c>
      <c r="T58">
        <f t="shared" si="0"/>
        <v>1</v>
      </c>
      <c r="U58" t="s">
        <v>436</v>
      </c>
    </row>
    <row r="59" spans="2:21">
      <c r="B59" s="188" t="s">
        <v>500</v>
      </c>
      <c r="C59" t="s">
        <v>500</v>
      </c>
      <c r="D59">
        <v>102402</v>
      </c>
      <c r="E59">
        <v>58.33</v>
      </c>
      <c r="F59">
        <v>15.13</v>
      </c>
      <c r="G59">
        <v>-16.3</v>
      </c>
      <c r="H59">
        <v>-15.9</v>
      </c>
      <c r="I59">
        <v>-14.7</v>
      </c>
      <c r="J59">
        <v>-14</v>
      </c>
      <c r="K59">
        <v>-13.8</v>
      </c>
      <c r="L59">
        <v>-13.5</v>
      </c>
      <c r="M59">
        <v>-13.5</v>
      </c>
      <c r="N59">
        <v>-13.1</v>
      </c>
      <c r="O59">
        <v>-12.9</v>
      </c>
      <c r="P59">
        <v>-12.4</v>
      </c>
      <c r="Q59">
        <v>-12.1</v>
      </c>
      <c r="R59">
        <v>-11.6</v>
      </c>
      <c r="S59">
        <v>1</v>
      </c>
      <c r="T59">
        <f t="shared" si="0"/>
        <v>1</v>
      </c>
      <c r="U59" t="s">
        <v>436</v>
      </c>
    </row>
    <row r="60" spans="2:21">
      <c r="B60" s="188" t="s">
        <v>501</v>
      </c>
      <c r="C60" t="s">
        <v>501</v>
      </c>
      <c r="D60">
        <v>102407</v>
      </c>
      <c r="E60">
        <v>58.54</v>
      </c>
      <c r="F60">
        <v>15.04</v>
      </c>
      <c r="G60">
        <v>-16.2</v>
      </c>
      <c r="H60">
        <v>-15.8</v>
      </c>
      <c r="I60">
        <v>-14.6</v>
      </c>
      <c r="J60">
        <v>-14.1</v>
      </c>
      <c r="K60">
        <v>-13.9</v>
      </c>
      <c r="L60">
        <v>-13.6</v>
      </c>
      <c r="M60">
        <v>-13.6</v>
      </c>
      <c r="N60">
        <v>-13.2</v>
      </c>
      <c r="O60">
        <v>-13</v>
      </c>
      <c r="P60">
        <v>-12.5</v>
      </c>
      <c r="Q60">
        <v>-12.1</v>
      </c>
      <c r="R60">
        <v>-11.7</v>
      </c>
      <c r="S60">
        <v>1</v>
      </c>
      <c r="T60">
        <f t="shared" si="0"/>
        <v>1</v>
      </c>
      <c r="U60" t="s">
        <v>436</v>
      </c>
    </row>
    <row r="61" spans="2:21">
      <c r="B61" s="188" t="s">
        <v>498</v>
      </c>
      <c r="C61" t="s">
        <v>498</v>
      </c>
      <c r="D61">
        <v>102420</v>
      </c>
      <c r="E61">
        <v>58.07</v>
      </c>
      <c r="F61">
        <v>15.24</v>
      </c>
      <c r="G61">
        <v>-16.600000000000001</v>
      </c>
      <c r="H61">
        <v>-16.100000000000001</v>
      </c>
      <c r="I61">
        <v>-15</v>
      </c>
      <c r="J61">
        <v>-14.3</v>
      </c>
      <c r="K61">
        <v>-14.1</v>
      </c>
      <c r="L61">
        <v>-13.7</v>
      </c>
      <c r="M61">
        <v>-13.7</v>
      </c>
      <c r="N61">
        <v>-13.7</v>
      </c>
      <c r="O61">
        <v>-13.1</v>
      </c>
      <c r="P61">
        <v>-12.8</v>
      </c>
      <c r="Q61">
        <v>-12.2</v>
      </c>
      <c r="R61">
        <v>-12.1</v>
      </c>
      <c r="S61">
        <v>1</v>
      </c>
      <c r="T61">
        <f t="shared" si="0"/>
        <v>1</v>
      </c>
      <c r="U61" t="s">
        <v>436</v>
      </c>
    </row>
    <row r="62" spans="2:21">
      <c r="B62" s="188" t="s">
        <v>523</v>
      </c>
      <c r="C62" t="s">
        <v>523</v>
      </c>
      <c r="D62">
        <v>102421</v>
      </c>
      <c r="E62">
        <v>58.47</v>
      </c>
      <c r="F62">
        <v>16.34</v>
      </c>
      <c r="G62">
        <v>-15.5</v>
      </c>
      <c r="H62">
        <v>-15</v>
      </c>
      <c r="I62">
        <v>-13.7</v>
      </c>
      <c r="J62">
        <v>-13.4</v>
      </c>
      <c r="K62">
        <v>-13.1</v>
      </c>
      <c r="L62">
        <v>-12.7</v>
      </c>
      <c r="M62">
        <v>-12.5</v>
      </c>
      <c r="N62">
        <v>-12.5</v>
      </c>
      <c r="O62">
        <v>-11.8</v>
      </c>
      <c r="P62">
        <v>-11.5</v>
      </c>
      <c r="Q62">
        <v>-11.2</v>
      </c>
      <c r="R62">
        <v>-10.9</v>
      </c>
      <c r="S62">
        <v>1</v>
      </c>
      <c r="T62">
        <f t="shared" si="0"/>
        <v>1</v>
      </c>
      <c r="U62" t="s">
        <v>436</v>
      </c>
    </row>
    <row r="63" spans="2:21">
      <c r="B63" s="188" t="s">
        <v>535</v>
      </c>
      <c r="C63" t="s">
        <v>535</v>
      </c>
      <c r="D63">
        <v>102418</v>
      </c>
      <c r="E63">
        <v>58.45</v>
      </c>
      <c r="F63">
        <v>14.9</v>
      </c>
      <c r="G63">
        <v>-16.100000000000001</v>
      </c>
      <c r="H63">
        <v>-15.3</v>
      </c>
      <c r="I63">
        <v>-14.2</v>
      </c>
      <c r="J63">
        <v>-13.8</v>
      </c>
      <c r="K63">
        <v>-13.6</v>
      </c>
      <c r="L63">
        <v>-13.3</v>
      </c>
      <c r="M63">
        <v>-13.3</v>
      </c>
      <c r="N63">
        <v>-13</v>
      </c>
      <c r="O63">
        <v>-12.7</v>
      </c>
      <c r="P63">
        <v>-12.2</v>
      </c>
      <c r="Q63">
        <v>-11.8</v>
      </c>
      <c r="R63">
        <v>-11.4</v>
      </c>
      <c r="S63">
        <v>1</v>
      </c>
      <c r="T63">
        <f t="shared" si="0"/>
        <v>1</v>
      </c>
      <c r="U63" t="s">
        <v>436</v>
      </c>
    </row>
    <row r="64" spans="2:21">
      <c r="B64" s="188" t="s">
        <v>536</v>
      </c>
      <c r="C64" t="s">
        <v>536</v>
      </c>
      <c r="D64">
        <v>102405</v>
      </c>
      <c r="E64">
        <v>58.21</v>
      </c>
      <c r="F64">
        <v>16.600000000000001</v>
      </c>
      <c r="G64">
        <v>-14.3</v>
      </c>
      <c r="H64">
        <v>-13.4</v>
      </c>
      <c r="I64">
        <v>-12.9</v>
      </c>
      <c r="J64">
        <v>-12.4</v>
      </c>
      <c r="K64">
        <v>-12.2</v>
      </c>
      <c r="L64">
        <v>-12</v>
      </c>
      <c r="M64">
        <v>-11.8</v>
      </c>
      <c r="N64">
        <v>-11.7</v>
      </c>
      <c r="O64">
        <v>-11</v>
      </c>
      <c r="P64">
        <v>-10.8</v>
      </c>
      <c r="Q64">
        <v>-10.6</v>
      </c>
      <c r="R64">
        <v>-10.199999999999999</v>
      </c>
      <c r="S64">
        <v>1</v>
      </c>
      <c r="T64">
        <f t="shared" si="0"/>
        <v>1</v>
      </c>
      <c r="U64" t="s">
        <v>436</v>
      </c>
    </row>
    <row r="65" spans="1:21">
      <c r="B65" s="188" t="s">
        <v>544</v>
      </c>
      <c r="C65" t="s">
        <v>544</v>
      </c>
      <c r="D65">
        <v>102422</v>
      </c>
      <c r="E65">
        <v>57.83</v>
      </c>
      <c r="F65">
        <v>15.27</v>
      </c>
      <c r="G65">
        <v>-16.3</v>
      </c>
      <c r="H65">
        <v>-15.8</v>
      </c>
      <c r="I65">
        <v>-14.7</v>
      </c>
      <c r="J65">
        <v>-14</v>
      </c>
      <c r="K65">
        <v>-13.8</v>
      </c>
      <c r="L65">
        <v>-13.8</v>
      </c>
      <c r="M65">
        <v>-13.6</v>
      </c>
      <c r="N65">
        <v>-13.4</v>
      </c>
      <c r="O65">
        <v>-12.9</v>
      </c>
      <c r="P65">
        <v>-12.5</v>
      </c>
      <c r="Q65">
        <v>-12.1</v>
      </c>
      <c r="R65">
        <v>-11.9</v>
      </c>
      <c r="S65">
        <v>1</v>
      </c>
      <c r="T65">
        <f t="shared" si="0"/>
        <v>1</v>
      </c>
      <c r="U65" t="s">
        <v>436</v>
      </c>
    </row>
    <row r="66" spans="1:21">
      <c r="B66" s="188" t="s">
        <v>546</v>
      </c>
      <c r="C66" t="s">
        <v>546</v>
      </c>
      <c r="D66">
        <v>102404</v>
      </c>
      <c r="E66">
        <v>58.2</v>
      </c>
      <c r="F66">
        <v>16</v>
      </c>
      <c r="G66">
        <v>-16.399999999999999</v>
      </c>
      <c r="H66">
        <v>-15.7</v>
      </c>
      <c r="I66">
        <v>-14.6</v>
      </c>
      <c r="J66">
        <v>-13.9</v>
      </c>
      <c r="K66">
        <v>-13.7</v>
      </c>
      <c r="L66">
        <v>-13.5</v>
      </c>
      <c r="M66">
        <v>-13.3</v>
      </c>
      <c r="N66">
        <v>-13.1</v>
      </c>
      <c r="O66">
        <v>-12.5</v>
      </c>
      <c r="P66">
        <v>-12.2</v>
      </c>
      <c r="Q66">
        <v>-11.8</v>
      </c>
      <c r="R66">
        <v>-11.4</v>
      </c>
      <c r="S66">
        <v>1</v>
      </c>
      <c r="T66">
        <f t="shared" si="0"/>
        <v>1</v>
      </c>
      <c r="U66" t="s">
        <v>436</v>
      </c>
    </row>
    <row r="67" spans="1:21">
      <c r="B67" s="188" t="s">
        <v>549</v>
      </c>
      <c r="C67" t="s">
        <v>549</v>
      </c>
      <c r="D67">
        <v>102401</v>
      </c>
      <c r="E67">
        <v>58.23</v>
      </c>
      <c r="F67">
        <v>14.66</v>
      </c>
      <c r="G67">
        <v>-15.3</v>
      </c>
      <c r="H67">
        <v>-14.9</v>
      </c>
      <c r="I67">
        <v>-14</v>
      </c>
      <c r="J67">
        <v>-13.3</v>
      </c>
      <c r="K67">
        <v>-13.2</v>
      </c>
      <c r="L67">
        <v>-12.7</v>
      </c>
      <c r="M67">
        <v>-12.7</v>
      </c>
      <c r="N67">
        <v>-12.7</v>
      </c>
      <c r="O67">
        <v>-12.2</v>
      </c>
      <c r="P67">
        <v>-11.8</v>
      </c>
      <c r="Q67">
        <v>-11.4</v>
      </c>
      <c r="R67">
        <v>-11.1</v>
      </c>
      <c r="S67">
        <v>1</v>
      </c>
      <c r="T67">
        <f t="shared" ref="T67:T131" si="1">VALUE(VLOOKUP(B67,FgeoVlookup,2,FALSE))</f>
        <v>1</v>
      </c>
      <c r="U67" t="s">
        <v>436</v>
      </c>
    </row>
    <row r="68" spans="1:21">
      <c r="B68" s="188" t="s">
        <v>480</v>
      </c>
      <c r="C68" t="s">
        <v>480</v>
      </c>
      <c r="D68">
        <v>102331</v>
      </c>
      <c r="E68">
        <v>57.24</v>
      </c>
      <c r="F68">
        <v>18.28</v>
      </c>
      <c r="G68">
        <v>-9.5</v>
      </c>
      <c r="H68">
        <v>-8.6999999999999993</v>
      </c>
      <c r="I68">
        <v>-8.6999999999999993</v>
      </c>
      <c r="J68">
        <v>-8.3000000000000007</v>
      </c>
      <c r="K68">
        <v>-8.3000000000000007</v>
      </c>
      <c r="L68">
        <v>-8.1999999999999993</v>
      </c>
      <c r="M68">
        <v>-8</v>
      </c>
      <c r="N68">
        <v>-8</v>
      </c>
      <c r="O68">
        <v>-8</v>
      </c>
      <c r="P68">
        <v>-7.9</v>
      </c>
      <c r="Q68">
        <v>-7.9</v>
      </c>
      <c r="R68">
        <v>-7.8</v>
      </c>
      <c r="S68">
        <v>0.9</v>
      </c>
      <c r="T68">
        <f t="shared" si="1"/>
        <v>0.9</v>
      </c>
      <c r="U68" t="s">
        <v>558</v>
      </c>
    </row>
    <row r="69" spans="1:21">
      <c r="B69" s="188" t="s">
        <v>114</v>
      </c>
      <c r="C69" t="s">
        <v>114</v>
      </c>
      <c r="D69">
        <v>102330</v>
      </c>
      <c r="E69">
        <v>57.63</v>
      </c>
      <c r="F69">
        <v>18.309999999999999</v>
      </c>
      <c r="G69">
        <v>-9.4</v>
      </c>
      <c r="H69">
        <v>-8.8000000000000007</v>
      </c>
      <c r="I69">
        <v>-8.5</v>
      </c>
      <c r="J69">
        <v>-8.1999999999999993</v>
      </c>
      <c r="K69">
        <v>-8.1999999999999993</v>
      </c>
      <c r="L69">
        <v>-8.1999999999999993</v>
      </c>
      <c r="M69">
        <v>-8.1999999999999993</v>
      </c>
      <c r="N69">
        <v>-8</v>
      </c>
      <c r="O69">
        <v>-8</v>
      </c>
      <c r="P69">
        <v>-8</v>
      </c>
      <c r="Q69">
        <v>-8</v>
      </c>
      <c r="R69">
        <v>-8</v>
      </c>
      <c r="S69">
        <v>0.9</v>
      </c>
      <c r="T69">
        <f t="shared" si="1"/>
        <v>0.9</v>
      </c>
      <c r="U69" t="s">
        <v>558</v>
      </c>
    </row>
    <row r="70" spans="1:21">
      <c r="B70" s="188" t="s">
        <v>485</v>
      </c>
      <c r="C70" t="s">
        <v>485</v>
      </c>
      <c r="D70">
        <v>102118</v>
      </c>
      <c r="E70">
        <v>56.19</v>
      </c>
      <c r="F70">
        <v>14.85</v>
      </c>
      <c r="G70">
        <v>-11.5</v>
      </c>
      <c r="H70">
        <v>-10.7</v>
      </c>
      <c r="I70">
        <v>-10.5</v>
      </c>
      <c r="J70">
        <v>-10.1</v>
      </c>
      <c r="K70">
        <v>-10.1</v>
      </c>
      <c r="L70">
        <v>-9.6999999999999993</v>
      </c>
      <c r="M70">
        <v>-9.5</v>
      </c>
      <c r="N70">
        <v>-9.1999999999999993</v>
      </c>
      <c r="O70">
        <v>-8.9</v>
      </c>
      <c r="P70">
        <v>-8.8000000000000007</v>
      </c>
      <c r="Q70">
        <v>-8.5</v>
      </c>
      <c r="R70">
        <v>-8.3000000000000007</v>
      </c>
      <c r="S70">
        <v>0.9</v>
      </c>
      <c r="T70">
        <f t="shared" si="1"/>
        <v>0.9</v>
      </c>
      <c r="U70" t="s">
        <v>241</v>
      </c>
    </row>
    <row r="71" spans="1:21">
      <c r="B71" s="188" t="s">
        <v>486</v>
      </c>
      <c r="C71" t="s">
        <v>486</v>
      </c>
      <c r="D71">
        <v>102120</v>
      </c>
      <c r="E71">
        <v>56.18</v>
      </c>
      <c r="F71">
        <v>15.62</v>
      </c>
      <c r="G71">
        <v>-10.9</v>
      </c>
      <c r="H71">
        <v>-10.3</v>
      </c>
      <c r="I71">
        <v>-10.1</v>
      </c>
      <c r="J71">
        <v>-9.9</v>
      </c>
      <c r="K71">
        <v>-9.5</v>
      </c>
      <c r="L71">
        <v>-9.4</v>
      </c>
      <c r="M71">
        <v>-9.1999999999999993</v>
      </c>
      <c r="N71">
        <v>-9</v>
      </c>
      <c r="O71">
        <v>-8.6999999999999993</v>
      </c>
      <c r="P71">
        <v>-8.5</v>
      </c>
      <c r="Q71">
        <v>-8.3000000000000007</v>
      </c>
      <c r="R71">
        <v>-8</v>
      </c>
      <c r="S71">
        <v>0.9</v>
      </c>
      <c r="T71">
        <f t="shared" si="1"/>
        <v>0.9</v>
      </c>
      <c r="U71" t="s">
        <v>241</v>
      </c>
    </row>
    <row r="72" spans="1:21">
      <c r="B72" s="188" t="s">
        <v>509</v>
      </c>
      <c r="C72" t="s">
        <v>509</v>
      </c>
      <c r="D72">
        <v>102116</v>
      </c>
      <c r="E72">
        <v>56.28</v>
      </c>
      <c r="F72">
        <v>14.52</v>
      </c>
      <c r="G72">
        <v>-12.9</v>
      </c>
      <c r="H72">
        <v>-11.7</v>
      </c>
      <c r="I72">
        <v>-11.6</v>
      </c>
      <c r="J72">
        <v>-11.3</v>
      </c>
      <c r="K72">
        <v>-11.1</v>
      </c>
      <c r="L72">
        <v>-11</v>
      </c>
      <c r="M72">
        <v>-10.7</v>
      </c>
      <c r="N72">
        <v>-10.5</v>
      </c>
      <c r="O72">
        <v>-10</v>
      </c>
      <c r="P72">
        <v>-9.8000000000000007</v>
      </c>
      <c r="Q72">
        <v>-9.6</v>
      </c>
      <c r="R72">
        <v>-9.5</v>
      </c>
      <c r="S72">
        <v>0.9</v>
      </c>
      <c r="T72">
        <f t="shared" si="1"/>
        <v>0.9</v>
      </c>
      <c r="U72" t="s">
        <v>241</v>
      </c>
    </row>
    <row r="73" spans="1:21">
      <c r="B73" s="188" t="s">
        <v>512</v>
      </c>
      <c r="C73" t="s">
        <v>512</v>
      </c>
      <c r="D73">
        <v>102119</v>
      </c>
      <c r="E73">
        <v>56.21</v>
      </c>
      <c r="F73">
        <v>15.28</v>
      </c>
      <c r="G73">
        <v>-11.7</v>
      </c>
      <c r="H73">
        <v>-11.1</v>
      </c>
      <c r="I73">
        <v>-10.8</v>
      </c>
      <c r="J73">
        <v>-10.4</v>
      </c>
      <c r="K73">
        <v>-10.3</v>
      </c>
      <c r="L73">
        <v>-10</v>
      </c>
      <c r="M73">
        <v>-9.9</v>
      </c>
      <c r="N73">
        <v>-9.6</v>
      </c>
      <c r="O73">
        <v>-9.3000000000000007</v>
      </c>
      <c r="P73">
        <v>-9</v>
      </c>
      <c r="Q73">
        <v>-8.6999999999999993</v>
      </c>
      <c r="R73">
        <v>-8.5</v>
      </c>
      <c r="S73">
        <v>0.9</v>
      </c>
      <c r="T73">
        <f t="shared" si="1"/>
        <v>0.9</v>
      </c>
      <c r="U73" t="s">
        <v>241</v>
      </c>
    </row>
    <row r="74" spans="1:21">
      <c r="B74" s="188" t="s">
        <v>524</v>
      </c>
      <c r="C74" t="s">
        <v>524</v>
      </c>
      <c r="D74">
        <v>102115</v>
      </c>
      <c r="E74">
        <v>56.05</v>
      </c>
      <c r="F74">
        <v>14.6</v>
      </c>
      <c r="G74">
        <v>-11.6</v>
      </c>
      <c r="H74">
        <v>-10.8</v>
      </c>
      <c r="I74">
        <v>-10.5</v>
      </c>
      <c r="J74">
        <v>-10</v>
      </c>
      <c r="K74">
        <v>-10</v>
      </c>
      <c r="L74">
        <v>-9.8000000000000007</v>
      </c>
      <c r="M74">
        <v>-9.6</v>
      </c>
      <c r="N74">
        <v>-9.3000000000000007</v>
      </c>
      <c r="O74">
        <v>-9.1</v>
      </c>
      <c r="P74">
        <v>-8.9</v>
      </c>
      <c r="Q74">
        <v>-8.6</v>
      </c>
      <c r="R74">
        <v>-8.4</v>
      </c>
      <c r="S74">
        <v>0.9</v>
      </c>
      <c r="T74">
        <f t="shared" si="1"/>
        <v>0.9</v>
      </c>
      <c r="U74" t="s">
        <v>241</v>
      </c>
    </row>
    <row r="75" spans="1:21">
      <c r="A75" s="41"/>
      <c r="B75" t="s">
        <v>395</v>
      </c>
      <c r="C75" t="s">
        <v>395</v>
      </c>
      <c r="D75">
        <v>102252</v>
      </c>
      <c r="E75">
        <v>57.92</v>
      </c>
      <c r="F75">
        <v>12.06</v>
      </c>
      <c r="G75">
        <v>-13.8</v>
      </c>
      <c r="H75">
        <v>-13.3</v>
      </c>
      <c r="I75">
        <v>-12.7</v>
      </c>
      <c r="J75">
        <v>-12.1</v>
      </c>
      <c r="K75">
        <v>-12.1</v>
      </c>
      <c r="L75">
        <v>-12.1</v>
      </c>
      <c r="M75">
        <v>-11.9</v>
      </c>
      <c r="N75">
        <v>-11.7</v>
      </c>
      <c r="O75">
        <v>-11.7</v>
      </c>
      <c r="P75">
        <v>-11.3</v>
      </c>
      <c r="Q75">
        <v>-11</v>
      </c>
      <c r="R75">
        <v>-10.8</v>
      </c>
      <c r="S75">
        <v>1</v>
      </c>
      <c r="T75">
        <f t="shared" si="1"/>
        <v>1</v>
      </c>
      <c r="U75" s="41" t="s">
        <v>395</v>
      </c>
    </row>
    <row r="76" spans="1:21">
      <c r="A76" s="41"/>
      <c r="B76" t="s">
        <v>396</v>
      </c>
      <c r="C76" t="s">
        <v>396</v>
      </c>
      <c r="D76">
        <v>102204</v>
      </c>
      <c r="E76">
        <v>57.93</v>
      </c>
      <c r="F76">
        <v>12.54</v>
      </c>
      <c r="G76">
        <v>-15.4</v>
      </c>
      <c r="H76">
        <v>-14.4</v>
      </c>
      <c r="I76">
        <v>-13.6</v>
      </c>
      <c r="J76">
        <v>-13.4</v>
      </c>
      <c r="K76">
        <v>-13.3</v>
      </c>
      <c r="L76">
        <v>-12.9</v>
      </c>
      <c r="M76">
        <v>-12.9</v>
      </c>
      <c r="N76">
        <v>-12.8</v>
      </c>
      <c r="O76">
        <v>-12.5</v>
      </c>
      <c r="P76">
        <v>-12</v>
      </c>
      <c r="Q76">
        <v>-11.8</v>
      </c>
      <c r="R76">
        <v>-11.3</v>
      </c>
      <c r="S76">
        <v>1</v>
      </c>
      <c r="T76">
        <f t="shared" si="1"/>
        <v>1</v>
      </c>
      <c r="U76" s="41" t="s">
        <v>396</v>
      </c>
    </row>
    <row r="77" spans="1:21">
      <c r="A77" s="41"/>
      <c r="B77" t="s">
        <v>263</v>
      </c>
      <c r="C77" t="s">
        <v>263</v>
      </c>
      <c r="D77">
        <v>102343</v>
      </c>
      <c r="E77">
        <v>57.84</v>
      </c>
      <c r="F77">
        <v>14.82</v>
      </c>
      <c r="G77">
        <v>-16</v>
      </c>
      <c r="H77">
        <v>-15.6</v>
      </c>
      <c r="I77">
        <v>-14.9</v>
      </c>
      <c r="J77">
        <v>-13.7</v>
      </c>
      <c r="K77">
        <v>-13.7</v>
      </c>
      <c r="L77">
        <v>-13.5</v>
      </c>
      <c r="M77">
        <v>-13.4</v>
      </c>
      <c r="N77">
        <v>-13.2</v>
      </c>
      <c r="O77">
        <v>-12.9</v>
      </c>
      <c r="P77">
        <v>-12.3</v>
      </c>
      <c r="Q77">
        <v>-11.9</v>
      </c>
      <c r="R77">
        <v>-11.7</v>
      </c>
      <c r="S77">
        <v>1</v>
      </c>
      <c r="T77">
        <f t="shared" si="1"/>
        <v>1</v>
      </c>
      <c r="U77" s="41" t="s">
        <v>263</v>
      </c>
    </row>
    <row r="78" spans="1:21">
      <c r="A78" s="41"/>
      <c r="B78" t="s">
        <v>372</v>
      </c>
      <c r="C78" t="s">
        <v>372</v>
      </c>
      <c r="D78">
        <v>102601</v>
      </c>
      <c r="E78">
        <v>59.39</v>
      </c>
      <c r="F78">
        <v>15.85</v>
      </c>
      <c r="G78">
        <v>-18.7</v>
      </c>
      <c r="H78">
        <v>-17.8</v>
      </c>
      <c r="I78">
        <v>-17</v>
      </c>
      <c r="J78">
        <v>-16.5</v>
      </c>
      <c r="K78">
        <v>-15.9</v>
      </c>
      <c r="L78">
        <v>-15.7</v>
      </c>
      <c r="M78">
        <v>-15.4</v>
      </c>
      <c r="N78">
        <v>-15.1</v>
      </c>
      <c r="O78">
        <v>-14.8</v>
      </c>
      <c r="P78">
        <v>-14.4</v>
      </c>
      <c r="Q78">
        <v>-14.1</v>
      </c>
      <c r="R78">
        <v>-13.9</v>
      </c>
      <c r="S78">
        <v>1</v>
      </c>
      <c r="T78">
        <f t="shared" si="1"/>
        <v>1</v>
      </c>
      <c r="U78" s="41" t="s">
        <v>372</v>
      </c>
    </row>
    <row r="79" spans="1:21">
      <c r="B79" t="s">
        <v>293</v>
      </c>
      <c r="C79" t="s">
        <v>293</v>
      </c>
      <c r="D79">
        <v>102001</v>
      </c>
      <c r="E79">
        <v>66.05</v>
      </c>
      <c r="F79">
        <v>17.88</v>
      </c>
      <c r="G79">
        <v>-31.9</v>
      </c>
      <c r="H79">
        <v>-31.2</v>
      </c>
      <c r="I79">
        <v>-29.5</v>
      </c>
      <c r="J79">
        <v>-28.6</v>
      </c>
      <c r="K79">
        <v>-27.6</v>
      </c>
      <c r="L79">
        <v>-27</v>
      </c>
      <c r="M79">
        <v>-26.7</v>
      </c>
      <c r="N79">
        <v>-26.4</v>
      </c>
      <c r="O79">
        <v>-26.1</v>
      </c>
      <c r="P79">
        <v>-26</v>
      </c>
      <c r="Q79">
        <v>-25.8</v>
      </c>
      <c r="R79">
        <v>-25.7</v>
      </c>
      <c r="S79">
        <v>1.7</v>
      </c>
      <c r="T79">
        <f t="shared" si="1"/>
        <v>1.7</v>
      </c>
      <c r="U79" s="41" t="s">
        <v>293</v>
      </c>
    </row>
    <row r="80" spans="1:21">
      <c r="B80" t="s">
        <v>290</v>
      </c>
      <c r="C80" t="s">
        <v>290</v>
      </c>
      <c r="D80">
        <v>102002</v>
      </c>
      <c r="E80">
        <v>65.59</v>
      </c>
      <c r="F80">
        <v>19.170000000000002</v>
      </c>
      <c r="G80">
        <v>-29.6</v>
      </c>
      <c r="H80">
        <v>-28.1</v>
      </c>
      <c r="I80">
        <v>-27.4</v>
      </c>
      <c r="J80">
        <v>-26.7</v>
      </c>
      <c r="K80">
        <v>-25.9</v>
      </c>
      <c r="L80">
        <v>-25.2</v>
      </c>
      <c r="M80">
        <v>-24.7</v>
      </c>
      <c r="N80">
        <v>-24.2</v>
      </c>
      <c r="O80">
        <v>-23.9</v>
      </c>
      <c r="P80">
        <v>-23.6</v>
      </c>
      <c r="Q80">
        <v>-23.6</v>
      </c>
      <c r="R80">
        <v>-23.5</v>
      </c>
      <c r="S80">
        <v>1.6</v>
      </c>
      <c r="T80">
        <f t="shared" si="1"/>
        <v>1.6</v>
      </c>
      <c r="U80" s="41" t="s">
        <v>290</v>
      </c>
    </row>
    <row r="81" spans="1:22">
      <c r="B81" t="s">
        <v>340</v>
      </c>
      <c r="C81" t="s">
        <v>340</v>
      </c>
      <c r="D81">
        <v>102503</v>
      </c>
      <c r="E81">
        <v>59.65</v>
      </c>
      <c r="F81">
        <v>12.61</v>
      </c>
      <c r="G81">
        <v>-21.3</v>
      </c>
      <c r="H81">
        <v>-20.2</v>
      </c>
      <c r="I81">
        <v>-19.899999999999999</v>
      </c>
      <c r="J81">
        <v>-19</v>
      </c>
      <c r="K81">
        <v>-18.7</v>
      </c>
      <c r="L81">
        <v>-18.399999999999999</v>
      </c>
      <c r="M81">
        <v>-18.100000000000001</v>
      </c>
      <c r="N81">
        <v>-18</v>
      </c>
      <c r="O81">
        <v>-17.8</v>
      </c>
      <c r="P81">
        <v>-17.399999999999999</v>
      </c>
      <c r="Q81">
        <v>-17.2</v>
      </c>
      <c r="R81">
        <v>-16.7</v>
      </c>
      <c r="S81">
        <v>1.1000000000000001</v>
      </c>
      <c r="T81">
        <f t="shared" si="1"/>
        <v>1.1000000000000001</v>
      </c>
      <c r="U81" s="41" t="s">
        <v>340</v>
      </c>
    </row>
    <row r="82" spans="1:22">
      <c r="B82" t="s">
        <v>429</v>
      </c>
      <c r="C82" t="s">
        <v>429</v>
      </c>
      <c r="D82">
        <v>102512</v>
      </c>
      <c r="E82">
        <v>58.88</v>
      </c>
      <c r="F82">
        <v>14.91</v>
      </c>
      <c r="G82">
        <v>-16.7</v>
      </c>
      <c r="H82">
        <v>-16.3</v>
      </c>
      <c r="I82">
        <v>-15.1</v>
      </c>
      <c r="J82">
        <v>-14.8</v>
      </c>
      <c r="K82">
        <v>-14.5</v>
      </c>
      <c r="L82">
        <v>-14.2</v>
      </c>
      <c r="M82">
        <v>-13.9</v>
      </c>
      <c r="N82">
        <v>-13.9</v>
      </c>
      <c r="O82">
        <v>-13.6</v>
      </c>
      <c r="P82">
        <v>-13.1</v>
      </c>
      <c r="Q82">
        <v>-12.7</v>
      </c>
      <c r="R82">
        <v>-12.4</v>
      </c>
      <c r="S82">
        <v>1.1000000000000001</v>
      </c>
      <c r="T82">
        <f t="shared" si="1"/>
        <v>1.1000000000000001</v>
      </c>
      <c r="U82" s="41" t="s">
        <v>429</v>
      </c>
    </row>
    <row r="83" spans="1:22">
      <c r="B83" t="s">
        <v>226</v>
      </c>
      <c r="C83" t="s">
        <v>226</v>
      </c>
      <c r="D83">
        <v>102702</v>
      </c>
      <c r="E83">
        <v>60.14</v>
      </c>
      <c r="F83">
        <v>16.2</v>
      </c>
      <c r="G83">
        <v>-19.3</v>
      </c>
      <c r="H83">
        <v>-18.7</v>
      </c>
      <c r="I83">
        <v>-18</v>
      </c>
      <c r="J83">
        <v>-17.3</v>
      </c>
      <c r="K83">
        <v>-17</v>
      </c>
      <c r="L83">
        <v>-16.600000000000001</v>
      </c>
      <c r="M83">
        <v>-16.2</v>
      </c>
      <c r="N83">
        <v>-16.2</v>
      </c>
      <c r="O83">
        <v>-16</v>
      </c>
      <c r="P83">
        <v>-15.7</v>
      </c>
      <c r="Q83">
        <v>-15.5</v>
      </c>
      <c r="R83">
        <v>-15.5</v>
      </c>
      <c r="S83">
        <v>1.1000000000000001</v>
      </c>
      <c r="T83">
        <f t="shared" si="1"/>
        <v>1.1000000000000001</v>
      </c>
      <c r="U83" s="180" t="s">
        <v>226</v>
      </c>
    </row>
    <row r="84" spans="1:22">
      <c r="B84" t="s">
        <v>397</v>
      </c>
      <c r="C84" t="s">
        <v>397</v>
      </c>
      <c r="D84">
        <v>102223</v>
      </c>
      <c r="E84">
        <v>59.03</v>
      </c>
      <c r="F84">
        <v>12.22</v>
      </c>
      <c r="G84">
        <v>-17.8</v>
      </c>
      <c r="H84">
        <v>-17.100000000000001</v>
      </c>
      <c r="I84">
        <v>-16.899999999999999</v>
      </c>
      <c r="J84">
        <v>-16.399999999999999</v>
      </c>
      <c r="K84">
        <v>-15.7</v>
      </c>
      <c r="L84">
        <v>-15.7</v>
      </c>
      <c r="M84">
        <v>-15.4</v>
      </c>
      <c r="N84">
        <v>-15.3</v>
      </c>
      <c r="O84">
        <v>-14.9</v>
      </c>
      <c r="P84">
        <v>-14.5</v>
      </c>
      <c r="Q84">
        <v>-14.5</v>
      </c>
      <c r="R84">
        <v>-14.2</v>
      </c>
      <c r="S84">
        <v>1</v>
      </c>
      <c r="T84">
        <f t="shared" si="1"/>
        <v>1</v>
      </c>
      <c r="U84" s="41" t="s">
        <v>397</v>
      </c>
    </row>
    <row r="85" spans="1:22">
      <c r="B85" t="s">
        <v>354</v>
      </c>
      <c r="C85" t="s">
        <v>354</v>
      </c>
      <c r="D85">
        <v>102912</v>
      </c>
      <c r="E85">
        <v>63.93</v>
      </c>
      <c r="F85">
        <v>19.22</v>
      </c>
      <c r="G85">
        <v>-25.8</v>
      </c>
      <c r="H85">
        <v>-24.8</v>
      </c>
      <c r="I85">
        <v>-23.9</v>
      </c>
      <c r="J85">
        <v>-23.2</v>
      </c>
      <c r="K85">
        <v>-22.8</v>
      </c>
      <c r="L85">
        <v>-22.3</v>
      </c>
      <c r="M85">
        <v>-22.1</v>
      </c>
      <c r="N85">
        <v>-21.8</v>
      </c>
      <c r="O85">
        <v>-21.6</v>
      </c>
      <c r="P85">
        <v>-21.2</v>
      </c>
      <c r="Q85">
        <v>-20.9</v>
      </c>
      <c r="R85">
        <v>-20.6</v>
      </c>
      <c r="S85">
        <v>1.4</v>
      </c>
      <c r="T85">
        <f t="shared" si="1"/>
        <v>1.4</v>
      </c>
      <c r="U85" s="41" t="s">
        <v>354</v>
      </c>
      <c r="V85" s="41"/>
    </row>
    <row r="86" spans="1:22">
      <c r="B86" t="s">
        <v>302</v>
      </c>
      <c r="C86" t="s">
        <v>302</v>
      </c>
      <c r="D86">
        <v>102128</v>
      </c>
      <c r="E86">
        <v>56.08</v>
      </c>
      <c r="F86">
        <v>12.94</v>
      </c>
      <c r="G86">
        <v>-11</v>
      </c>
      <c r="H86">
        <v>-10.6</v>
      </c>
      <c r="I86">
        <v>-9.6999999999999993</v>
      </c>
      <c r="J86">
        <v>-9.6999999999999993</v>
      </c>
      <c r="K86">
        <v>-9.5</v>
      </c>
      <c r="L86">
        <v>-9.4</v>
      </c>
      <c r="M86">
        <v>-9.4</v>
      </c>
      <c r="N86">
        <v>-8.9</v>
      </c>
      <c r="O86">
        <v>-8.9</v>
      </c>
      <c r="P86">
        <v>-8.6</v>
      </c>
      <c r="Q86">
        <v>-8.1999999999999993</v>
      </c>
      <c r="R86">
        <v>-8.1</v>
      </c>
      <c r="S86">
        <v>0.9</v>
      </c>
      <c r="T86">
        <f t="shared" si="1"/>
        <v>0.9</v>
      </c>
      <c r="U86" s="41" t="s">
        <v>302</v>
      </c>
    </row>
    <row r="87" spans="1:22">
      <c r="B87" t="s">
        <v>287</v>
      </c>
      <c r="C87" t="s">
        <v>287</v>
      </c>
      <c r="D87">
        <v>102006</v>
      </c>
      <c r="E87">
        <v>65.819999999999993</v>
      </c>
      <c r="F87">
        <v>21.7</v>
      </c>
      <c r="G87">
        <v>-29.1</v>
      </c>
      <c r="H87">
        <v>-27.8</v>
      </c>
      <c r="I87">
        <v>-27</v>
      </c>
      <c r="J87">
        <v>-25.8</v>
      </c>
      <c r="K87">
        <v>-25.6</v>
      </c>
      <c r="L87">
        <v>-25.2</v>
      </c>
      <c r="M87">
        <v>-24.6</v>
      </c>
      <c r="N87">
        <v>-24.5</v>
      </c>
      <c r="O87">
        <v>-24.1</v>
      </c>
      <c r="P87">
        <v>-23.7</v>
      </c>
      <c r="Q87">
        <v>-23.4</v>
      </c>
      <c r="R87">
        <v>-23.2</v>
      </c>
      <c r="S87">
        <v>1.5</v>
      </c>
      <c r="T87">
        <f t="shared" si="1"/>
        <v>1.5</v>
      </c>
      <c r="U87" s="41" t="s">
        <v>287</v>
      </c>
    </row>
    <row r="88" spans="1:22">
      <c r="B88" t="s">
        <v>398</v>
      </c>
      <c r="C88" t="s">
        <v>398</v>
      </c>
      <c r="D88">
        <v>102243</v>
      </c>
      <c r="E88">
        <v>57.67</v>
      </c>
      <c r="F88">
        <v>12.57</v>
      </c>
      <c r="G88">
        <v>-15.1</v>
      </c>
      <c r="H88">
        <v>-14.3</v>
      </c>
      <c r="I88">
        <v>-13.4</v>
      </c>
      <c r="J88">
        <v>-12.9</v>
      </c>
      <c r="K88">
        <v>-12.9</v>
      </c>
      <c r="L88">
        <v>-12.8</v>
      </c>
      <c r="M88">
        <v>-12.8</v>
      </c>
      <c r="N88">
        <v>-12.8</v>
      </c>
      <c r="O88">
        <v>-12.5</v>
      </c>
      <c r="P88">
        <v>-12.2</v>
      </c>
      <c r="Q88">
        <v>-12.1</v>
      </c>
      <c r="R88">
        <v>-11.8</v>
      </c>
      <c r="S88">
        <v>1</v>
      </c>
      <c r="T88">
        <f t="shared" si="1"/>
        <v>1</v>
      </c>
      <c r="U88" s="41" t="s">
        <v>398</v>
      </c>
    </row>
    <row r="89" spans="1:22">
      <c r="B89" t="s">
        <v>245</v>
      </c>
      <c r="C89" t="s">
        <v>245</v>
      </c>
      <c r="D89">
        <v>102718</v>
      </c>
      <c r="E89">
        <v>61.35</v>
      </c>
      <c r="F89">
        <v>16.39</v>
      </c>
      <c r="G89">
        <v>-21.5</v>
      </c>
      <c r="H89">
        <v>-20.9</v>
      </c>
      <c r="I89">
        <v>-20.3</v>
      </c>
      <c r="J89">
        <v>-19</v>
      </c>
      <c r="K89">
        <v>-18.899999999999999</v>
      </c>
      <c r="L89">
        <v>-18.2</v>
      </c>
      <c r="M89">
        <v>-17.899999999999999</v>
      </c>
      <c r="N89">
        <v>-17.899999999999999</v>
      </c>
      <c r="O89">
        <v>-17.600000000000001</v>
      </c>
      <c r="P89">
        <v>-17.600000000000001</v>
      </c>
      <c r="Q89">
        <v>-17.100000000000001</v>
      </c>
      <c r="R89">
        <v>-17.100000000000001</v>
      </c>
      <c r="S89">
        <v>1.2</v>
      </c>
      <c r="T89">
        <f t="shared" si="1"/>
        <v>1.2</v>
      </c>
      <c r="U89" s="180" t="s">
        <v>245</v>
      </c>
    </row>
    <row r="90" spans="1:22">
      <c r="B90" t="s">
        <v>275</v>
      </c>
      <c r="C90" t="s">
        <v>275</v>
      </c>
      <c r="D90">
        <v>102308</v>
      </c>
      <c r="E90">
        <v>56.88</v>
      </c>
      <c r="F90">
        <v>16.66</v>
      </c>
      <c r="G90">
        <v>-11.8</v>
      </c>
      <c r="H90">
        <v>-11.3</v>
      </c>
      <c r="I90">
        <v>-10.9</v>
      </c>
      <c r="J90">
        <v>-10.4</v>
      </c>
      <c r="K90">
        <v>-10.1</v>
      </c>
      <c r="L90">
        <v>-10.1</v>
      </c>
      <c r="M90">
        <v>-9.9</v>
      </c>
      <c r="N90">
        <v>-9.6999999999999993</v>
      </c>
      <c r="O90">
        <v>-9.3000000000000007</v>
      </c>
      <c r="P90">
        <v>-8.9</v>
      </c>
      <c r="Q90">
        <v>-8.9</v>
      </c>
      <c r="R90">
        <v>-8.8000000000000007</v>
      </c>
      <c r="S90">
        <v>0.9</v>
      </c>
      <c r="T90">
        <f t="shared" si="1"/>
        <v>0.9</v>
      </c>
      <c r="U90" s="41" t="s">
        <v>275</v>
      </c>
    </row>
    <row r="91" spans="1:22">
      <c r="B91" t="s">
        <v>229</v>
      </c>
      <c r="C91" t="s">
        <v>229</v>
      </c>
      <c r="D91">
        <v>102707</v>
      </c>
      <c r="E91">
        <v>60.47</v>
      </c>
      <c r="F91">
        <v>15.46</v>
      </c>
      <c r="G91">
        <v>-20.7</v>
      </c>
      <c r="H91">
        <v>-19.899999999999999</v>
      </c>
      <c r="I91">
        <v>-19.3</v>
      </c>
      <c r="J91">
        <v>-18.7</v>
      </c>
      <c r="K91">
        <v>-18.3</v>
      </c>
      <c r="L91">
        <v>-17.8</v>
      </c>
      <c r="M91">
        <v>-17.3</v>
      </c>
      <c r="N91">
        <v>-17.100000000000001</v>
      </c>
      <c r="O91">
        <v>-16.899999999999999</v>
      </c>
      <c r="P91">
        <v>-16.5</v>
      </c>
      <c r="Q91">
        <v>-16.3</v>
      </c>
      <c r="R91">
        <v>-16</v>
      </c>
      <c r="S91">
        <v>1.2</v>
      </c>
      <c r="T91">
        <f t="shared" si="1"/>
        <v>1.2</v>
      </c>
      <c r="U91" s="180" t="s">
        <v>229</v>
      </c>
    </row>
    <row r="92" spans="1:22">
      <c r="B92" t="s">
        <v>399</v>
      </c>
      <c r="C92" t="s">
        <v>399</v>
      </c>
      <c r="D92">
        <v>102206</v>
      </c>
      <c r="E92">
        <v>57.73</v>
      </c>
      <c r="F92">
        <v>12.95</v>
      </c>
      <c r="G92">
        <v>-15.6</v>
      </c>
      <c r="H92">
        <v>-14.7</v>
      </c>
      <c r="I92">
        <v>-13.8</v>
      </c>
      <c r="J92">
        <v>-13.6</v>
      </c>
      <c r="K92">
        <v>-13.3</v>
      </c>
      <c r="L92">
        <v>-13.1</v>
      </c>
      <c r="M92">
        <v>-13</v>
      </c>
      <c r="N92">
        <v>-13</v>
      </c>
      <c r="O92">
        <v>-12.4</v>
      </c>
      <c r="P92">
        <v>-12</v>
      </c>
      <c r="Q92">
        <v>-11.8</v>
      </c>
      <c r="R92">
        <v>-11.4</v>
      </c>
      <c r="S92">
        <v>1</v>
      </c>
      <c r="T92">
        <f t="shared" si="1"/>
        <v>1</v>
      </c>
      <c r="U92" s="41" t="s">
        <v>399</v>
      </c>
    </row>
    <row r="93" spans="1:22">
      <c r="A93" t="s">
        <v>575</v>
      </c>
      <c r="B93" s="187" t="s">
        <v>325</v>
      </c>
      <c r="C93" t="s">
        <v>575</v>
      </c>
      <c r="D93">
        <v>102130</v>
      </c>
      <c r="E93">
        <v>56.26</v>
      </c>
      <c r="F93">
        <v>14.08</v>
      </c>
      <c r="G93">
        <v>-13.5</v>
      </c>
      <c r="H93">
        <v>-12.1</v>
      </c>
      <c r="I93">
        <v>-11.6</v>
      </c>
      <c r="J93">
        <v>-11.4</v>
      </c>
      <c r="K93">
        <v>-11.2</v>
      </c>
      <c r="L93">
        <v>-11</v>
      </c>
      <c r="M93">
        <v>-11</v>
      </c>
      <c r="N93">
        <v>-10.7</v>
      </c>
      <c r="O93">
        <v>-10.5</v>
      </c>
      <c r="P93">
        <v>-10.3</v>
      </c>
      <c r="Q93">
        <v>-10</v>
      </c>
      <c r="R93">
        <v>-9.8000000000000007</v>
      </c>
      <c r="S93">
        <v>0.9</v>
      </c>
      <c r="T93">
        <f t="shared" si="1"/>
        <v>0.9</v>
      </c>
      <c r="U93" s="41" t="s">
        <v>325</v>
      </c>
    </row>
    <row r="94" spans="1:22">
      <c r="B94" t="s">
        <v>303</v>
      </c>
      <c r="C94" t="s">
        <v>303</v>
      </c>
      <c r="D94">
        <v>102114</v>
      </c>
      <c r="E94">
        <v>56.08</v>
      </c>
      <c r="F94">
        <v>14.47</v>
      </c>
      <c r="G94">
        <v>-11.7</v>
      </c>
      <c r="H94">
        <v>-10.8</v>
      </c>
      <c r="I94">
        <v>-10.6</v>
      </c>
      <c r="J94">
        <v>-10.199999999999999</v>
      </c>
      <c r="K94">
        <v>-10.199999999999999</v>
      </c>
      <c r="L94">
        <v>-9.9</v>
      </c>
      <c r="M94">
        <v>-9.8000000000000007</v>
      </c>
      <c r="N94">
        <v>-9.4</v>
      </c>
      <c r="O94">
        <v>-9.1999999999999993</v>
      </c>
      <c r="P94">
        <v>-8.9</v>
      </c>
      <c r="Q94">
        <v>-8.6999999999999993</v>
      </c>
      <c r="R94">
        <v>-8.4</v>
      </c>
      <c r="S94">
        <v>0.9</v>
      </c>
      <c r="T94">
        <f t="shared" si="1"/>
        <v>0.9</v>
      </c>
      <c r="U94" s="41" t="s">
        <v>303</v>
      </c>
    </row>
    <row r="95" spans="1:22">
      <c r="B95" t="s">
        <v>256</v>
      </c>
      <c r="C95" t="s">
        <v>256</v>
      </c>
      <c r="D95">
        <v>102803</v>
      </c>
      <c r="E95">
        <v>62.75</v>
      </c>
      <c r="F95">
        <v>15.42</v>
      </c>
      <c r="G95">
        <v>-26</v>
      </c>
      <c r="H95">
        <v>-25.8</v>
      </c>
      <c r="I95">
        <v>-24.8</v>
      </c>
      <c r="J95">
        <v>-23.6</v>
      </c>
      <c r="K95">
        <v>-23</v>
      </c>
      <c r="L95">
        <v>-22.1</v>
      </c>
      <c r="M95">
        <v>-21.4</v>
      </c>
      <c r="N95">
        <v>-21</v>
      </c>
      <c r="O95">
        <v>-20.6</v>
      </c>
      <c r="P95">
        <v>-20.2</v>
      </c>
      <c r="Q95">
        <v>-19.899999999999999</v>
      </c>
      <c r="R95">
        <v>-19.7</v>
      </c>
      <c r="S95">
        <v>1.4</v>
      </c>
      <c r="T95">
        <f t="shared" si="1"/>
        <v>1.4</v>
      </c>
      <c r="U95" s="41" t="s">
        <v>256</v>
      </c>
    </row>
    <row r="96" spans="1:22">
      <c r="B96" t="s">
        <v>304</v>
      </c>
      <c r="C96" t="s">
        <v>304</v>
      </c>
      <c r="D96">
        <v>102138</v>
      </c>
      <c r="E96">
        <v>55.63</v>
      </c>
      <c r="F96">
        <v>13.08</v>
      </c>
      <c r="G96">
        <v>-10.5</v>
      </c>
      <c r="H96">
        <v>-9.6</v>
      </c>
      <c r="I96">
        <v>-9.1</v>
      </c>
      <c r="J96">
        <v>-8.6999999999999993</v>
      </c>
      <c r="K96">
        <v>-8.6999999999999993</v>
      </c>
      <c r="L96">
        <v>-8.6999999999999993</v>
      </c>
      <c r="M96">
        <v>-8.5</v>
      </c>
      <c r="N96">
        <v>-8.1999999999999993</v>
      </c>
      <c r="O96">
        <v>-7.9</v>
      </c>
      <c r="P96">
        <v>-7.6</v>
      </c>
      <c r="Q96">
        <v>-7.6</v>
      </c>
      <c r="R96">
        <v>-7.4</v>
      </c>
      <c r="S96">
        <v>0.9</v>
      </c>
      <c r="T96">
        <f t="shared" si="1"/>
        <v>0.9</v>
      </c>
      <c r="U96" s="41" t="s">
        <v>304</v>
      </c>
    </row>
    <row r="97" spans="1:23">
      <c r="B97" t="s">
        <v>305</v>
      </c>
      <c r="C97" t="s">
        <v>305</v>
      </c>
      <c r="D97">
        <v>102132</v>
      </c>
      <c r="E97">
        <v>56.42</v>
      </c>
      <c r="F97">
        <v>12.85</v>
      </c>
      <c r="G97">
        <v>-12.5</v>
      </c>
      <c r="H97">
        <v>-11.8</v>
      </c>
      <c r="I97">
        <v>-10.8</v>
      </c>
      <c r="J97">
        <v>-10.8</v>
      </c>
      <c r="K97">
        <v>-10.5</v>
      </c>
      <c r="L97">
        <v>-10.5</v>
      </c>
      <c r="M97">
        <v>-10.5</v>
      </c>
      <c r="N97">
        <v>-10.5</v>
      </c>
      <c r="O97">
        <v>-10.199999999999999</v>
      </c>
      <c r="P97">
        <v>-9.9</v>
      </c>
      <c r="Q97">
        <v>-9.8000000000000007</v>
      </c>
      <c r="R97">
        <v>-9.5</v>
      </c>
      <c r="S97">
        <v>0.9</v>
      </c>
      <c r="T97">
        <f t="shared" si="1"/>
        <v>0.9</v>
      </c>
      <c r="U97" s="41" t="s">
        <v>305</v>
      </c>
    </row>
    <row r="98" spans="1:23">
      <c r="B98" t="s">
        <v>430</v>
      </c>
      <c r="C98" t="s">
        <v>430</v>
      </c>
      <c r="D98">
        <v>102532</v>
      </c>
      <c r="E98">
        <v>59.23</v>
      </c>
      <c r="F98">
        <v>14.43</v>
      </c>
      <c r="G98">
        <v>-18.3</v>
      </c>
      <c r="H98">
        <v>-17.2</v>
      </c>
      <c r="I98">
        <v>-16.899999999999999</v>
      </c>
      <c r="J98">
        <v>-16.3</v>
      </c>
      <c r="K98">
        <v>-16</v>
      </c>
      <c r="L98">
        <v>-15.4</v>
      </c>
      <c r="M98">
        <v>-15.4</v>
      </c>
      <c r="N98">
        <v>-15.4</v>
      </c>
      <c r="O98">
        <v>-15.1</v>
      </c>
      <c r="P98">
        <v>-14.8</v>
      </c>
      <c r="Q98">
        <v>-14.5</v>
      </c>
      <c r="R98">
        <v>-14</v>
      </c>
      <c r="S98">
        <v>1.1000000000000001</v>
      </c>
      <c r="T98">
        <f t="shared" si="1"/>
        <v>1.1000000000000001</v>
      </c>
      <c r="U98" s="41" t="s">
        <v>430</v>
      </c>
    </row>
    <row r="99" spans="1:23">
      <c r="B99" t="s">
        <v>358</v>
      </c>
      <c r="C99" t="s">
        <v>358</v>
      </c>
      <c r="D99">
        <v>102901</v>
      </c>
      <c r="E99">
        <v>64.260000000000005</v>
      </c>
      <c r="F99">
        <v>16.420000000000002</v>
      </c>
      <c r="G99">
        <v>-29.2</v>
      </c>
      <c r="H99">
        <v>-28.4</v>
      </c>
      <c r="I99">
        <v>-27.1</v>
      </c>
      <c r="J99">
        <v>-26.3</v>
      </c>
      <c r="K99">
        <v>-25.7</v>
      </c>
      <c r="L99">
        <v>-25.2</v>
      </c>
      <c r="M99">
        <v>-24.9</v>
      </c>
      <c r="N99">
        <v>-24.7</v>
      </c>
      <c r="O99">
        <v>-24.2</v>
      </c>
      <c r="P99">
        <v>-23.9</v>
      </c>
      <c r="Q99">
        <v>-23.8</v>
      </c>
      <c r="R99">
        <v>-23.6</v>
      </c>
      <c r="S99">
        <v>1.5</v>
      </c>
      <c r="T99">
        <f t="shared" si="1"/>
        <v>1.5</v>
      </c>
      <c r="U99" s="41" t="s">
        <v>358</v>
      </c>
    </row>
    <row r="100" spans="1:23">
      <c r="A100" t="s">
        <v>576</v>
      </c>
      <c r="B100" s="187" t="s">
        <v>556</v>
      </c>
      <c r="C100" t="s">
        <v>576</v>
      </c>
      <c r="D100">
        <v>102222</v>
      </c>
      <c r="E100">
        <v>58.91</v>
      </c>
      <c r="F100">
        <v>11.94</v>
      </c>
      <c r="G100">
        <v>-16.899999999999999</v>
      </c>
      <c r="H100">
        <v>-16.2</v>
      </c>
      <c r="I100">
        <v>-16</v>
      </c>
      <c r="J100">
        <v>-15.5</v>
      </c>
      <c r="K100">
        <v>-14.9</v>
      </c>
      <c r="L100">
        <v>-14.9</v>
      </c>
      <c r="M100">
        <v>-14.6</v>
      </c>
      <c r="N100">
        <v>-14.2</v>
      </c>
      <c r="O100">
        <v>-14.1</v>
      </c>
      <c r="P100">
        <v>-13.8</v>
      </c>
      <c r="Q100">
        <v>-13.5</v>
      </c>
      <c r="R100">
        <v>-13.3</v>
      </c>
      <c r="S100">
        <v>1</v>
      </c>
      <c r="T100">
        <f t="shared" si="1"/>
        <v>1</v>
      </c>
      <c r="U100" s="184" t="s">
        <v>556</v>
      </c>
      <c r="V100" t="s">
        <v>557</v>
      </c>
      <c r="W100" t="s">
        <v>554</v>
      </c>
    </row>
    <row r="101" spans="1:23">
      <c r="B101" t="s">
        <v>272</v>
      </c>
      <c r="C101" t="s">
        <v>272</v>
      </c>
      <c r="D101">
        <v>102322</v>
      </c>
      <c r="E101">
        <v>57.67</v>
      </c>
      <c r="F101">
        <v>14.97</v>
      </c>
      <c r="G101">
        <v>-15.9</v>
      </c>
      <c r="H101">
        <v>-15.5</v>
      </c>
      <c r="I101">
        <v>-14.4</v>
      </c>
      <c r="J101">
        <v>-14</v>
      </c>
      <c r="K101">
        <v>-13.8</v>
      </c>
      <c r="L101">
        <v>-13.5</v>
      </c>
      <c r="M101">
        <v>-13.5</v>
      </c>
      <c r="N101">
        <v>-13.4</v>
      </c>
      <c r="O101">
        <v>-13</v>
      </c>
      <c r="P101">
        <v>-12.4</v>
      </c>
      <c r="Q101">
        <v>-12.1</v>
      </c>
      <c r="R101">
        <v>-11.8</v>
      </c>
      <c r="S101">
        <v>1.1000000000000001</v>
      </c>
      <c r="T101">
        <f t="shared" si="1"/>
        <v>1.1000000000000001</v>
      </c>
      <c r="U101" s="41" t="s">
        <v>272</v>
      </c>
    </row>
    <row r="102" spans="1:23">
      <c r="B102" t="s">
        <v>276</v>
      </c>
      <c r="C102" t="s">
        <v>276</v>
      </c>
      <c r="D102">
        <v>102341</v>
      </c>
      <c r="E102">
        <v>56.63</v>
      </c>
      <c r="F102">
        <v>15.54</v>
      </c>
      <c r="G102">
        <v>-14.1</v>
      </c>
      <c r="H102">
        <v>-13.2</v>
      </c>
      <c r="I102">
        <v>-12.8</v>
      </c>
      <c r="J102">
        <v>-12.5</v>
      </c>
      <c r="K102">
        <v>-12</v>
      </c>
      <c r="L102">
        <v>-11.9</v>
      </c>
      <c r="M102">
        <v>-11.8</v>
      </c>
      <c r="N102">
        <v>-11.5</v>
      </c>
      <c r="O102">
        <v>-11.3</v>
      </c>
      <c r="P102">
        <v>-10.9</v>
      </c>
      <c r="Q102">
        <v>-10.5</v>
      </c>
      <c r="R102">
        <v>-10.3</v>
      </c>
      <c r="S102">
        <v>0.9</v>
      </c>
      <c r="T102">
        <f t="shared" si="1"/>
        <v>0.9</v>
      </c>
      <c r="U102" s="41" t="s">
        <v>276</v>
      </c>
    </row>
    <row r="103" spans="1:23">
      <c r="B103" t="s">
        <v>331</v>
      </c>
      <c r="C103" t="s">
        <v>331</v>
      </c>
      <c r="D103">
        <v>102606</v>
      </c>
      <c r="E103">
        <v>59.64</v>
      </c>
      <c r="F103">
        <v>17.09</v>
      </c>
      <c r="G103">
        <v>-18.399999999999999</v>
      </c>
      <c r="H103">
        <v>-18</v>
      </c>
      <c r="I103">
        <v>-17</v>
      </c>
      <c r="J103">
        <v>-16.5</v>
      </c>
      <c r="K103">
        <v>-16</v>
      </c>
      <c r="L103">
        <v>-15.5</v>
      </c>
      <c r="M103">
        <v>-15.3</v>
      </c>
      <c r="N103">
        <v>-15.1</v>
      </c>
      <c r="O103">
        <v>-14.9</v>
      </c>
      <c r="P103">
        <v>-14.6</v>
      </c>
      <c r="Q103">
        <v>-14.3</v>
      </c>
      <c r="R103">
        <v>-14.3</v>
      </c>
      <c r="S103">
        <v>1</v>
      </c>
      <c r="T103">
        <f t="shared" si="1"/>
        <v>1</v>
      </c>
      <c r="U103" s="41" t="s">
        <v>331</v>
      </c>
    </row>
    <row r="104" spans="1:23">
      <c r="B104" t="s">
        <v>306</v>
      </c>
      <c r="C104" t="s">
        <v>306</v>
      </c>
      <c r="D104">
        <v>102107</v>
      </c>
      <c r="E104">
        <v>55.84</v>
      </c>
      <c r="F104">
        <v>13.31</v>
      </c>
      <c r="G104">
        <v>-11.9</v>
      </c>
      <c r="H104">
        <v>-10.8</v>
      </c>
      <c r="I104">
        <v>-10.4</v>
      </c>
      <c r="J104">
        <v>-10.3</v>
      </c>
      <c r="K104">
        <v>-10.199999999999999</v>
      </c>
      <c r="L104">
        <v>-9.9</v>
      </c>
      <c r="M104">
        <v>-9.8000000000000007</v>
      </c>
      <c r="N104">
        <v>-9.5</v>
      </c>
      <c r="O104">
        <v>-9.1999999999999993</v>
      </c>
      <c r="P104">
        <v>-9.1</v>
      </c>
      <c r="Q104">
        <v>-8.6999999999999993</v>
      </c>
      <c r="R104">
        <v>-8.6</v>
      </c>
      <c r="S104">
        <v>0.9</v>
      </c>
      <c r="T104">
        <f t="shared" si="1"/>
        <v>0.9</v>
      </c>
      <c r="U104" s="41" t="s">
        <v>306</v>
      </c>
    </row>
    <row r="105" spans="1:23">
      <c r="B105" t="s">
        <v>400</v>
      </c>
      <c r="C105" t="s">
        <v>400</v>
      </c>
      <c r="D105">
        <v>102244</v>
      </c>
      <c r="E105">
        <v>58.19</v>
      </c>
      <c r="F105">
        <v>12.72</v>
      </c>
      <c r="G105">
        <v>-15.7</v>
      </c>
      <c r="H105">
        <v>-15.2</v>
      </c>
      <c r="I105">
        <v>-14.4</v>
      </c>
      <c r="J105">
        <v>-14.1</v>
      </c>
      <c r="K105">
        <v>-13.7</v>
      </c>
      <c r="L105">
        <v>-13.5</v>
      </c>
      <c r="M105">
        <v>-13.4</v>
      </c>
      <c r="N105">
        <v>-13.2</v>
      </c>
      <c r="O105">
        <v>-12.8</v>
      </c>
      <c r="P105">
        <v>-12.3</v>
      </c>
      <c r="Q105">
        <v>-12.2</v>
      </c>
      <c r="R105">
        <v>-11.7</v>
      </c>
      <c r="S105">
        <v>1</v>
      </c>
      <c r="T105">
        <f t="shared" si="1"/>
        <v>1</v>
      </c>
      <c r="U105" s="41" t="s">
        <v>400</v>
      </c>
    </row>
    <row r="106" spans="1:23">
      <c r="B106" t="s">
        <v>377</v>
      </c>
      <c r="C106" t="s">
        <v>377</v>
      </c>
      <c r="D106">
        <v>102603</v>
      </c>
      <c r="E106">
        <v>60</v>
      </c>
      <c r="F106">
        <v>15.81</v>
      </c>
      <c r="G106">
        <v>-19.100000000000001</v>
      </c>
      <c r="H106">
        <v>-18.2</v>
      </c>
      <c r="I106">
        <v>-17.7</v>
      </c>
      <c r="J106">
        <v>-17</v>
      </c>
      <c r="K106">
        <v>-16.7</v>
      </c>
      <c r="L106">
        <v>-16.100000000000001</v>
      </c>
      <c r="M106">
        <v>-15.8</v>
      </c>
      <c r="N106">
        <v>-15.8</v>
      </c>
      <c r="O106">
        <v>-15.6</v>
      </c>
      <c r="P106">
        <v>-15.2</v>
      </c>
      <c r="Q106">
        <v>-15.1</v>
      </c>
      <c r="R106">
        <v>-14.9</v>
      </c>
      <c r="S106">
        <v>1.1000000000000001</v>
      </c>
      <c r="T106">
        <f t="shared" si="1"/>
        <v>1.1000000000000001</v>
      </c>
      <c r="U106" s="41" t="s">
        <v>377</v>
      </c>
    </row>
    <row r="107" spans="1:23">
      <c r="B107" t="s">
        <v>401</v>
      </c>
      <c r="C107" t="s">
        <v>401</v>
      </c>
      <c r="D107">
        <v>102215</v>
      </c>
      <c r="E107">
        <v>58.17</v>
      </c>
      <c r="F107">
        <v>13.55</v>
      </c>
      <c r="G107">
        <v>-16.3</v>
      </c>
      <c r="H107">
        <v>-15.7</v>
      </c>
      <c r="I107">
        <v>-14.9</v>
      </c>
      <c r="J107">
        <v>-14.3</v>
      </c>
      <c r="K107">
        <v>-14.2</v>
      </c>
      <c r="L107">
        <v>-13.9</v>
      </c>
      <c r="M107">
        <v>-13.9</v>
      </c>
      <c r="N107">
        <v>-13.9</v>
      </c>
      <c r="O107">
        <v>-13.3</v>
      </c>
      <c r="P107">
        <v>-12.9</v>
      </c>
      <c r="Q107">
        <v>-12.5</v>
      </c>
      <c r="R107">
        <v>-12.1</v>
      </c>
      <c r="S107">
        <v>1</v>
      </c>
      <c r="T107">
        <f t="shared" si="1"/>
        <v>1</v>
      </c>
      <c r="U107" s="41" t="s">
        <v>401</v>
      </c>
    </row>
    <row r="108" spans="1:23">
      <c r="A108" t="s">
        <v>577</v>
      </c>
      <c r="B108" s="187" t="s">
        <v>301</v>
      </c>
      <c r="C108" t="s">
        <v>577</v>
      </c>
      <c r="D108">
        <v>102121</v>
      </c>
      <c r="E108">
        <v>55.38</v>
      </c>
      <c r="F108">
        <v>12.82</v>
      </c>
      <c r="G108">
        <v>-9.4</v>
      </c>
      <c r="H108">
        <v>-8.5</v>
      </c>
      <c r="I108">
        <v>-8.1</v>
      </c>
      <c r="J108">
        <v>-7.8</v>
      </c>
      <c r="K108">
        <v>-7.8</v>
      </c>
      <c r="L108">
        <v>-7.8</v>
      </c>
      <c r="M108">
        <v>-7.7</v>
      </c>
      <c r="N108">
        <v>-7.2</v>
      </c>
      <c r="O108">
        <v>-7.1</v>
      </c>
      <c r="P108">
        <v>-7.1</v>
      </c>
      <c r="Q108">
        <v>-7</v>
      </c>
      <c r="R108">
        <v>-6.8</v>
      </c>
      <c r="S108">
        <v>0.8</v>
      </c>
      <c r="T108">
        <f t="shared" si="1"/>
        <v>0.8</v>
      </c>
      <c r="U108" s="41" t="s">
        <v>301</v>
      </c>
    </row>
    <row r="109" spans="1:23">
      <c r="B109" t="s">
        <v>107</v>
      </c>
      <c r="C109" t="s">
        <v>107</v>
      </c>
      <c r="D109">
        <v>102708</v>
      </c>
      <c r="E109">
        <v>60.6</v>
      </c>
      <c r="F109">
        <v>15.67</v>
      </c>
      <c r="G109">
        <v>-21</v>
      </c>
      <c r="H109">
        <v>-20</v>
      </c>
      <c r="I109">
        <v>-19.5</v>
      </c>
      <c r="J109">
        <v>-18.8</v>
      </c>
      <c r="K109">
        <v>-18.5</v>
      </c>
      <c r="L109">
        <v>-18</v>
      </c>
      <c r="M109">
        <v>-17.899999999999999</v>
      </c>
      <c r="N109">
        <v>-17.7</v>
      </c>
      <c r="O109">
        <v>-17.2</v>
      </c>
      <c r="P109">
        <v>-17</v>
      </c>
      <c r="Q109">
        <v>-16.7</v>
      </c>
      <c r="R109">
        <v>-16.399999999999999</v>
      </c>
      <c r="S109">
        <v>1.2</v>
      </c>
      <c r="T109">
        <f t="shared" si="1"/>
        <v>1.2</v>
      </c>
      <c r="U109" s="180" t="s">
        <v>107</v>
      </c>
    </row>
    <row r="110" spans="1:23">
      <c r="B110" t="s">
        <v>343</v>
      </c>
      <c r="C110" t="s">
        <v>343</v>
      </c>
      <c r="D110">
        <v>102509</v>
      </c>
      <c r="E110">
        <v>59.71</v>
      </c>
      <c r="F110">
        <v>14.17</v>
      </c>
      <c r="G110">
        <v>-20.8</v>
      </c>
      <c r="H110">
        <v>-19.7</v>
      </c>
      <c r="I110">
        <v>-19.3</v>
      </c>
      <c r="J110">
        <v>-18.600000000000001</v>
      </c>
      <c r="K110">
        <v>-17.899999999999999</v>
      </c>
      <c r="L110">
        <v>-17.7</v>
      </c>
      <c r="M110">
        <v>-17.7</v>
      </c>
      <c r="N110">
        <v>-17.5</v>
      </c>
      <c r="O110">
        <v>-17.2</v>
      </c>
      <c r="P110">
        <v>-17</v>
      </c>
      <c r="Q110">
        <v>-16.8</v>
      </c>
      <c r="R110">
        <v>-16.5</v>
      </c>
      <c r="S110">
        <v>1.1000000000000001</v>
      </c>
      <c r="T110">
        <f t="shared" si="1"/>
        <v>1.1000000000000001</v>
      </c>
      <c r="U110" s="41" t="s">
        <v>343</v>
      </c>
    </row>
    <row r="111" spans="1:23">
      <c r="B111" t="s">
        <v>342</v>
      </c>
      <c r="C111" t="s">
        <v>342</v>
      </c>
      <c r="D111">
        <v>102528</v>
      </c>
      <c r="E111">
        <v>59.53</v>
      </c>
      <c r="F111">
        <v>13.47</v>
      </c>
      <c r="G111">
        <v>-20.100000000000001</v>
      </c>
      <c r="H111">
        <v>-18.8</v>
      </c>
      <c r="I111">
        <v>-18.399999999999999</v>
      </c>
      <c r="J111">
        <v>-18.100000000000001</v>
      </c>
      <c r="K111">
        <v>-17.399999999999999</v>
      </c>
      <c r="L111">
        <v>-16.899999999999999</v>
      </c>
      <c r="M111">
        <v>-16.899999999999999</v>
      </c>
      <c r="N111">
        <v>-16.899999999999999</v>
      </c>
      <c r="O111">
        <v>-16.7</v>
      </c>
      <c r="P111">
        <v>-16.5</v>
      </c>
      <c r="Q111">
        <v>-16.100000000000001</v>
      </c>
      <c r="R111">
        <v>-15.7</v>
      </c>
      <c r="S111">
        <v>1.1000000000000001</v>
      </c>
      <c r="T111">
        <f t="shared" si="1"/>
        <v>1.1000000000000001</v>
      </c>
      <c r="U111" s="41" t="s">
        <v>342</v>
      </c>
    </row>
    <row r="112" spans="1:23">
      <c r="B112" t="s">
        <v>402</v>
      </c>
      <c r="C112" t="s">
        <v>402</v>
      </c>
      <c r="D112">
        <v>102249</v>
      </c>
      <c r="E112">
        <v>58.57</v>
      </c>
      <c r="F112">
        <v>11.99</v>
      </c>
      <c r="G112">
        <v>-15</v>
      </c>
      <c r="H112">
        <v>-14.5</v>
      </c>
      <c r="I112">
        <v>-14.1</v>
      </c>
      <c r="J112">
        <v>-13.6</v>
      </c>
      <c r="K112">
        <v>-13.4</v>
      </c>
      <c r="L112">
        <v>-13.2</v>
      </c>
      <c r="M112">
        <v>-13</v>
      </c>
      <c r="N112">
        <v>-12.8</v>
      </c>
      <c r="O112">
        <v>-12.6</v>
      </c>
      <c r="P112">
        <v>-12.2</v>
      </c>
      <c r="Q112">
        <v>-12</v>
      </c>
      <c r="R112">
        <v>-11.7</v>
      </c>
      <c r="S112">
        <v>1</v>
      </c>
      <c r="T112">
        <f t="shared" si="1"/>
        <v>1</v>
      </c>
      <c r="U112" s="41" t="s">
        <v>402</v>
      </c>
    </row>
    <row r="113" spans="1:22">
      <c r="A113" t="s">
        <v>472</v>
      </c>
      <c r="B113" t="s">
        <v>260</v>
      </c>
      <c r="C113" s="182" t="s">
        <v>472</v>
      </c>
      <c r="D113">
        <v>102820</v>
      </c>
      <c r="E113">
        <v>63.68</v>
      </c>
      <c r="F113">
        <v>14.61</v>
      </c>
      <c r="G113">
        <v>-23</v>
      </c>
      <c r="H113">
        <v>-22.2</v>
      </c>
      <c r="I113">
        <v>-21.6</v>
      </c>
      <c r="J113">
        <v>-21.1</v>
      </c>
      <c r="K113">
        <v>-20.399999999999999</v>
      </c>
      <c r="L113">
        <v>-19.7</v>
      </c>
      <c r="M113">
        <v>-19.2</v>
      </c>
      <c r="N113">
        <v>-18.5</v>
      </c>
      <c r="O113">
        <v>-18.100000000000001</v>
      </c>
      <c r="P113">
        <v>-17.8</v>
      </c>
      <c r="Q113">
        <v>-17.600000000000001</v>
      </c>
      <c r="R113">
        <v>-17.3</v>
      </c>
      <c r="T113" t="e">
        <f>VALUE(VLOOKUP(C113,FgeoVlookup,2,FALSE))</f>
        <v>#N/A</v>
      </c>
      <c r="U113" s="41"/>
      <c r="V113" t="s">
        <v>569</v>
      </c>
    </row>
    <row r="114" spans="1:22">
      <c r="B114" t="s">
        <v>230</v>
      </c>
      <c r="C114" t="s">
        <v>230</v>
      </c>
      <c r="D114">
        <v>102725</v>
      </c>
      <c r="E114">
        <v>60.55</v>
      </c>
      <c r="F114">
        <v>15.13</v>
      </c>
      <c r="G114">
        <v>-21.8</v>
      </c>
      <c r="H114">
        <v>-21.1</v>
      </c>
      <c r="I114">
        <v>-20.3</v>
      </c>
      <c r="J114">
        <v>-19.899999999999999</v>
      </c>
      <c r="K114">
        <v>-19.399999999999999</v>
      </c>
      <c r="L114">
        <v>-19</v>
      </c>
      <c r="M114">
        <v>-18.5</v>
      </c>
      <c r="N114">
        <v>-18.2</v>
      </c>
      <c r="O114">
        <v>-17.8</v>
      </c>
      <c r="P114">
        <v>-17.600000000000001</v>
      </c>
      <c r="Q114">
        <v>-17.2</v>
      </c>
      <c r="R114">
        <v>-16.899999999999999</v>
      </c>
      <c r="S114">
        <v>1.2</v>
      </c>
      <c r="T114">
        <f t="shared" si="1"/>
        <v>1.2</v>
      </c>
      <c r="U114" s="180" t="s">
        <v>230</v>
      </c>
    </row>
    <row r="115" spans="1:22">
      <c r="B115" t="s">
        <v>264</v>
      </c>
      <c r="C115" t="s">
        <v>264</v>
      </c>
      <c r="D115">
        <v>102317</v>
      </c>
      <c r="E115">
        <v>57.3</v>
      </c>
      <c r="F115">
        <v>13.55</v>
      </c>
      <c r="G115">
        <v>-15.6</v>
      </c>
      <c r="H115">
        <v>-14.4</v>
      </c>
      <c r="I115">
        <v>-13.8</v>
      </c>
      <c r="J115">
        <v>-13.4</v>
      </c>
      <c r="K115">
        <v>-12.9</v>
      </c>
      <c r="L115">
        <v>-12.8</v>
      </c>
      <c r="M115">
        <v>-12.8</v>
      </c>
      <c r="N115">
        <v>-12.8</v>
      </c>
      <c r="O115">
        <v>-12.4</v>
      </c>
      <c r="P115">
        <v>-12.1</v>
      </c>
      <c r="Q115">
        <v>-11.8</v>
      </c>
      <c r="R115">
        <v>-11.7</v>
      </c>
      <c r="S115">
        <v>1</v>
      </c>
      <c r="T115">
        <f t="shared" si="1"/>
        <v>1</v>
      </c>
      <c r="U115" s="41" t="s">
        <v>264</v>
      </c>
    </row>
    <row r="116" spans="1:22">
      <c r="B116" t="s">
        <v>265</v>
      </c>
      <c r="C116" t="s">
        <v>265</v>
      </c>
      <c r="D116">
        <v>102344</v>
      </c>
      <c r="E116">
        <v>57.36</v>
      </c>
      <c r="F116">
        <v>13.73</v>
      </c>
      <c r="G116">
        <v>-16.100000000000001</v>
      </c>
      <c r="H116">
        <v>-14.9</v>
      </c>
      <c r="I116">
        <v>-14.2</v>
      </c>
      <c r="J116">
        <v>-13.7</v>
      </c>
      <c r="K116">
        <v>-13.1</v>
      </c>
      <c r="L116">
        <v>-13.1</v>
      </c>
      <c r="M116">
        <v>-13.1</v>
      </c>
      <c r="N116">
        <v>-13.1</v>
      </c>
      <c r="O116">
        <v>-12.7</v>
      </c>
      <c r="P116">
        <v>-12.4</v>
      </c>
      <c r="Q116">
        <v>-12</v>
      </c>
      <c r="R116">
        <v>-11.8</v>
      </c>
      <c r="S116">
        <v>1</v>
      </c>
      <c r="T116">
        <f t="shared" si="1"/>
        <v>1</v>
      </c>
      <c r="U116" s="41" t="s">
        <v>265</v>
      </c>
    </row>
    <row r="117" spans="1:22">
      <c r="B117" s="84" t="s">
        <v>338</v>
      </c>
      <c r="C117" t="s">
        <v>338</v>
      </c>
      <c r="D117">
        <v>102535</v>
      </c>
      <c r="E117">
        <v>59.35</v>
      </c>
      <c r="F117">
        <v>13.1</v>
      </c>
      <c r="G117">
        <v>-19.100000000000001</v>
      </c>
      <c r="H117">
        <v>-17.899999999999999</v>
      </c>
      <c r="I117">
        <v>-17.8</v>
      </c>
      <c r="J117">
        <v>-17.100000000000001</v>
      </c>
      <c r="K117">
        <v>-16.5</v>
      </c>
      <c r="L117">
        <v>-16.3</v>
      </c>
      <c r="M117">
        <v>-16.2</v>
      </c>
      <c r="N117">
        <v>-16.2</v>
      </c>
      <c r="O117">
        <v>-15.7</v>
      </c>
      <c r="P117">
        <v>-15.4</v>
      </c>
      <c r="Q117">
        <v>-15.2</v>
      </c>
      <c r="R117">
        <v>-14.8</v>
      </c>
      <c r="S117">
        <v>1</v>
      </c>
      <c r="T117">
        <f t="shared" si="1"/>
        <v>1</v>
      </c>
      <c r="U117" s="41" t="s">
        <v>338</v>
      </c>
      <c r="V117" s="181"/>
    </row>
    <row r="118" spans="1:22">
      <c r="B118" t="s">
        <v>403</v>
      </c>
      <c r="C118" t="s">
        <v>403</v>
      </c>
      <c r="D118">
        <v>102248</v>
      </c>
      <c r="E118">
        <v>58.33</v>
      </c>
      <c r="F118">
        <v>12.67</v>
      </c>
      <c r="G118">
        <v>-15.3</v>
      </c>
      <c r="H118">
        <v>-14.7</v>
      </c>
      <c r="I118">
        <v>-13.8</v>
      </c>
      <c r="J118">
        <v>-13.7</v>
      </c>
      <c r="K118">
        <v>-13.3</v>
      </c>
      <c r="L118">
        <v>-12.9</v>
      </c>
      <c r="M118">
        <v>-12.9</v>
      </c>
      <c r="N118">
        <v>-12.9</v>
      </c>
      <c r="O118">
        <v>-12.4</v>
      </c>
      <c r="P118">
        <v>-12</v>
      </c>
      <c r="Q118">
        <v>-11.6</v>
      </c>
      <c r="R118">
        <v>-11.3</v>
      </c>
      <c r="S118">
        <v>1</v>
      </c>
      <c r="T118">
        <f t="shared" si="1"/>
        <v>1</v>
      </c>
      <c r="U118" s="41" t="s">
        <v>403</v>
      </c>
    </row>
    <row r="119" spans="1:22">
      <c r="B119" t="s">
        <v>295</v>
      </c>
      <c r="C119" t="s">
        <v>295</v>
      </c>
      <c r="D119">
        <v>102012</v>
      </c>
      <c r="E119">
        <v>67.14</v>
      </c>
      <c r="F119">
        <v>20.66</v>
      </c>
      <c r="G119">
        <v>-29.3</v>
      </c>
      <c r="H119">
        <v>-28.4</v>
      </c>
      <c r="I119">
        <v>-27.9</v>
      </c>
      <c r="J119">
        <v>-26.9</v>
      </c>
      <c r="K119">
        <v>-26.1</v>
      </c>
      <c r="L119">
        <v>-25.7</v>
      </c>
      <c r="M119">
        <v>-25.3</v>
      </c>
      <c r="N119">
        <v>-24.7</v>
      </c>
      <c r="O119">
        <v>-24</v>
      </c>
      <c r="P119">
        <v>-23.7</v>
      </c>
      <c r="Q119">
        <v>-23.7</v>
      </c>
      <c r="R119">
        <v>-23.7</v>
      </c>
      <c r="S119">
        <v>1.9</v>
      </c>
      <c r="T119">
        <f t="shared" si="1"/>
        <v>1.9</v>
      </c>
      <c r="U119" s="41" t="s">
        <v>295</v>
      </c>
    </row>
    <row r="120" spans="1:22">
      <c r="B120" t="s">
        <v>242</v>
      </c>
      <c r="C120" t="s">
        <v>242</v>
      </c>
      <c r="D120">
        <v>102711</v>
      </c>
      <c r="E120">
        <v>60.68</v>
      </c>
      <c r="F120">
        <v>17.18</v>
      </c>
      <c r="G120">
        <v>-17.2</v>
      </c>
      <c r="H120">
        <v>-16.8</v>
      </c>
      <c r="I120">
        <v>-16</v>
      </c>
      <c r="J120">
        <v>-15.2</v>
      </c>
      <c r="K120">
        <v>-15.1</v>
      </c>
      <c r="L120">
        <v>-15</v>
      </c>
      <c r="M120">
        <v>-14.5</v>
      </c>
      <c r="N120">
        <v>-14.5</v>
      </c>
      <c r="O120">
        <v>-14.4</v>
      </c>
      <c r="P120">
        <v>-14.1</v>
      </c>
      <c r="Q120">
        <v>-13.9</v>
      </c>
      <c r="R120">
        <v>-13.8</v>
      </c>
      <c r="S120">
        <v>1.1000000000000001</v>
      </c>
      <c r="T120">
        <f t="shared" si="1"/>
        <v>1.1000000000000001</v>
      </c>
      <c r="U120" s="180" t="s">
        <v>242</v>
      </c>
    </row>
    <row r="121" spans="1:22">
      <c r="B121" t="s">
        <v>381</v>
      </c>
      <c r="C121" t="s">
        <v>381</v>
      </c>
      <c r="D121">
        <v>102201</v>
      </c>
      <c r="E121">
        <v>57.67</v>
      </c>
      <c r="F121">
        <v>11.96</v>
      </c>
      <c r="G121">
        <v>-12.3</v>
      </c>
      <c r="H121">
        <v>-11.9</v>
      </c>
      <c r="I121">
        <v>-11.2</v>
      </c>
      <c r="J121">
        <v>-10.9</v>
      </c>
      <c r="K121">
        <v>-10.8</v>
      </c>
      <c r="L121">
        <v>-10.8</v>
      </c>
      <c r="M121">
        <v>-10.6</v>
      </c>
      <c r="N121">
        <v>-10.5</v>
      </c>
      <c r="O121">
        <v>-10.4</v>
      </c>
      <c r="P121">
        <v>-10</v>
      </c>
      <c r="Q121">
        <v>-9.9</v>
      </c>
      <c r="R121">
        <v>-9.6999999999999993</v>
      </c>
      <c r="S121">
        <v>0.9</v>
      </c>
      <c r="T121">
        <f t="shared" si="1"/>
        <v>0.9</v>
      </c>
      <c r="U121" s="41" t="s">
        <v>381</v>
      </c>
    </row>
    <row r="122" spans="1:22">
      <c r="B122" t="s">
        <v>405</v>
      </c>
      <c r="C122" t="s">
        <v>405</v>
      </c>
      <c r="D122">
        <v>102519</v>
      </c>
      <c r="E122">
        <v>58.53</v>
      </c>
      <c r="F122">
        <v>13.49</v>
      </c>
      <c r="G122">
        <v>-15.1</v>
      </c>
      <c r="H122">
        <v>-14.7</v>
      </c>
      <c r="I122">
        <v>-13.6</v>
      </c>
      <c r="J122">
        <v>-13.1</v>
      </c>
      <c r="K122">
        <v>-13.1</v>
      </c>
      <c r="L122">
        <v>-13</v>
      </c>
      <c r="M122">
        <v>-12.8</v>
      </c>
      <c r="N122">
        <v>-12.7</v>
      </c>
      <c r="O122">
        <v>-12.2</v>
      </c>
      <c r="P122">
        <v>-11.8</v>
      </c>
      <c r="Q122">
        <v>-11.4</v>
      </c>
      <c r="R122">
        <v>-11</v>
      </c>
      <c r="S122">
        <v>1</v>
      </c>
      <c r="T122">
        <f t="shared" si="1"/>
        <v>1</v>
      </c>
      <c r="U122" s="41" t="s">
        <v>405</v>
      </c>
    </row>
    <row r="123" spans="1:22">
      <c r="B123" t="s">
        <v>266</v>
      </c>
      <c r="C123" t="s">
        <v>266</v>
      </c>
      <c r="D123">
        <v>102345</v>
      </c>
      <c r="E123">
        <v>57.91</v>
      </c>
      <c r="F123">
        <v>14.08</v>
      </c>
      <c r="G123">
        <v>-15.7</v>
      </c>
      <c r="H123">
        <v>-15.1</v>
      </c>
      <c r="I123">
        <v>-14.5</v>
      </c>
      <c r="J123">
        <v>-14.1</v>
      </c>
      <c r="K123">
        <v>-13.7</v>
      </c>
      <c r="L123">
        <v>-13.4</v>
      </c>
      <c r="M123">
        <v>-13.2</v>
      </c>
      <c r="N123">
        <v>-13</v>
      </c>
      <c r="O123">
        <v>-12.6</v>
      </c>
      <c r="P123">
        <v>-12.3</v>
      </c>
      <c r="Q123">
        <v>-12.1</v>
      </c>
      <c r="R123">
        <v>-11.6</v>
      </c>
      <c r="S123">
        <v>1</v>
      </c>
      <c r="T123">
        <f t="shared" si="1"/>
        <v>1</v>
      </c>
      <c r="U123" s="41" t="s">
        <v>266</v>
      </c>
    </row>
    <row r="124" spans="1:22">
      <c r="B124" t="s">
        <v>351</v>
      </c>
      <c r="C124" t="s">
        <v>351</v>
      </c>
      <c r="D124">
        <v>102506</v>
      </c>
      <c r="E124">
        <v>60.03</v>
      </c>
      <c r="F124">
        <v>13.69</v>
      </c>
      <c r="G124">
        <v>-23.2</v>
      </c>
      <c r="H124">
        <v>-22.5</v>
      </c>
      <c r="I124">
        <v>-21.7</v>
      </c>
      <c r="J124">
        <v>-21.2</v>
      </c>
      <c r="K124">
        <v>-20.8</v>
      </c>
      <c r="L124">
        <v>-20.399999999999999</v>
      </c>
      <c r="M124">
        <v>-20.100000000000001</v>
      </c>
      <c r="N124">
        <v>-19.899999999999999</v>
      </c>
      <c r="O124">
        <v>-19.600000000000001</v>
      </c>
      <c r="P124">
        <v>-19.600000000000001</v>
      </c>
      <c r="Q124">
        <v>-19.2</v>
      </c>
      <c r="R124">
        <v>-19</v>
      </c>
      <c r="S124">
        <v>1.2</v>
      </c>
      <c r="T124">
        <f t="shared" si="1"/>
        <v>1.2</v>
      </c>
      <c r="U124" s="41" t="s">
        <v>351</v>
      </c>
    </row>
    <row r="125" spans="1:22">
      <c r="B125" t="s">
        <v>475</v>
      </c>
      <c r="C125" t="s">
        <v>475</v>
      </c>
      <c r="D125">
        <v>102530</v>
      </c>
      <c r="E125">
        <v>59.07</v>
      </c>
      <c r="F125">
        <v>15.12</v>
      </c>
      <c r="G125">
        <v>-17.5</v>
      </c>
      <c r="H125">
        <v>-16.7</v>
      </c>
      <c r="I125">
        <v>-15.8</v>
      </c>
      <c r="J125">
        <v>-15.3</v>
      </c>
      <c r="K125">
        <v>-15</v>
      </c>
      <c r="L125">
        <v>-14.5</v>
      </c>
      <c r="M125">
        <v>-14.5</v>
      </c>
      <c r="N125">
        <v>-14.3</v>
      </c>
      <c r="O125">
        <v>-13.9</v>
      </c>
      <c r="P125">
        <v>-13.5</v>
      </c>
      <c r="Q125">
        <v>-13.1</v>
      </c>
      <c r="R125">
        <v>-13</v>
      </c>
      <c r="S125">
        <v>1</v>
      </c>
      <c r="T125">
        <f t="shared" si="1"/>
        <v>1</v>
      </c>
      <c r="U125" s="41" t="s">
        <v>475</v>
      </c>
    </row>
    <row r="126" spans="1:22">
      <c r="B126" t="s">
        <v>373</v>
      </c>
      <c r="C126" t="s">
        <v>373</v>
      </c>
      <c r="D126">
        <v>102634</v>
      </c>
      <c r="E126">
        <v>59.61</v>
      </c>
      <c r="F126">
        <v>16.23</v>
      </c>
      <c r="G126">
        <v>-18.7</v>
      </c>
      <c r="H126">
        <v>-18.100000000000001</v>
      </c>
      <c r="I126">
        <v>-17.5</v>
      </c>
      <c r="J126">
        <v>-16.8</v>
      </c>
      <c r="K126">
        <v>-16.3</v>
      </c>
      <c r="L126">
        <v>-16.100000000000001</v>
      </c>
      <c r="M126">
        <v>-15.8</v>
      </c>
      <c r="N126">
        <v>-15.6</v>
      </c>
      <c r="O126">
        <v>-15.3</v>
      </c>
      <c r="P126">
        <v>-15.2</v>
      </c>
      <c r="Q126">
        <v>-14.9</v>
      </c>
      <c r="R126">
        <v>-14.7</v>
      </c>
      <c r="S126">
        <v>1</v>
      </c>
      <c r="T126">
        <f t="shared" si="1"/>
        <v>1</v>
      </c>
      <c r="U126" s="41" t="s">
        <v>373</v>
      </c>
    </row>
    <row r="127" spans="1:22">
      <c r="A127" t="s">
        <v>578</v>
      </c>
      <c r="B127" s="187" t="s">
        <v>257</v>
      </c>
      <c r="C127" t="s">
        <v>578</v>
      </c>
      <c r="D127">
        <v>102811</v>
      </c>
      <c r="E127">
        <v>63.11</v>
      </c>
      <c r="F127">
        <v>16.36</v>
      </c>
      <c r="G127">
        <v>-27.1</v>
      </c>
      <c r="H127">
        <v>-26.3</v>
      </c>
      <c r="I127">
        <v>-25.9</v>
      </c>
      <c r="J127">
        <v>-24.4</v>
      </c>
      <c r="K127">
        <v>-23.7</v>
      </c>
      <c r="L127">
        <v>-22.7</v>
      </c>
      <c r="M127">
        <v>-22</v>
      </c>
      <c r="N127">
        <v>-21.6</v>
      </c>
      <c r="O127">
        <v>-21.3</v>
      </c>
      <c r="P127">
        <v>-21</v>
      </c>
      <c r="Q127">
        <v>-20.7</v>
      </c>
      <c r="R127">
        <v>-20.5</v>
      </c>
      <c r="S127">
        <v>1.4</v>
      </c>
      <c r="T127">
        <f t="shared" si="1"/>
        <v>1.4</v>
      </c>
      <c r="U127" s="41" t="s">
        <v>257</v>
      </c>
    </row>
    <row r="128" spans="1:22">
      <c r="B128" t="s">
        <v>344</v>
      </c>
      <c r="C128" t="s">
        <v>344</v>
      </c>
      <c r="D128">
        <v>102525</v>
      </c>
      <c r="E128">
        <v>59.33</v>
      </c>
      <c r="F128">
        <v>13.43</v>
      </c>
      <c r="G128">
        <v>-18.7</v>
      </c>
      <c r="H128">
        <v>-17.600000000000001</v>
      </c>
      <c r="I128">
        <v>-17.2</v>
      </c>
      <c r="J128">
        <v>-16.8</v>
      </c>
      <c r="K128">
        <v>-16.2</v>
      </c>
      <c r="L128">
        <v>-15.9</v>
      </c>
      <c r="M128">
        <v>-15.8</v>
      </c>
      <c r="N128">
        <v>-15.8</v>
      </c>
      <c r="O128">
        <v>-15.5</v>
      </c>
      <c r="P128">
        <v>-15.2</v>
      </c>
      <c r="Q128">
        <v>-14.9</v>
      </c>
      <c r="R128">
        <v>-14.5</v>
      </c>
      <c r="S128">
        <v>1.1000000000000001</v>
      </c>
      <c r="T128">
        <f t="shared" si="1"/>
        <v>1.1000000000000001</v>
      </c>
      <c r="U128" s="41" t="s">
        <v>344</v>
      </c>
    </row>
    <row r="129" spans="1:22">
      <c r="B129" t="s">
        <v>478</v>
      </c>
      <c r="C129" t="s">
        <v>478</v>
      </c>
      <c r="D129">
        <v>102010</v>
      </c>
      <c r="E129">
        <v>65.83</v>
      </c>
      <c r="F129">
        <v>24.13</v>
      </c>
      <c r="G129">
        <v>-27</v>
      </c>
      <c r="H129">
        <v>-26.5</v>
      </c>
      <c r="I129">
        <v>-25.8</v>
      </c>
      <c r="J129">
        <v>-25.1</v>
      </c>
      <c r="K129">
        <v>-24.5</v>
      </c>
      <c r="L129">
        <v>-23.9</v>
      </c>
      <c r="M129">
        <v>-23.7</v>
      </c>
      <c r="N129">
        <v>-23.3</v>
      </c>
      <c r="O129">
        <v>-23.2</v>
      </c>
      <c r="P129">
        <v>-23</v>
      </c>
      <c r="Q129">
        <v>-22.8</v>
      </c>
      <c r="R129">
        <v>-22.4</v>
      </c>
      <c r="S129">
        <v>1.5</v>
      </c>
      <c r="T129">
        <f t="shared" si="1"/>
        <v>1.5</v>
      </c>
      <c r="U129" s="41" t="s">
        <v>478</v>
      </c>
    </row>
    <row r="130" spans="1:22">
      <c r="A130" t="s">
        <v>579</v>
      </c>
      <c r="B130" s="187" t="s">
        <v>334</v>
      </c>
      <c r="C130" t="s">
        <v>579</v>
      </c>
      <c r="D130">
        <v>102801</v>
      </c>
      <c r="E130">
        <v>62.42</v>
      </c>
      <c r="F130">
        <v>13.5</v>
      </c>
      <c r="G130">
        <v>-28.5</v>
      </c>
      <c r="H130">
        <v>-28.1</v>
      </c>
      <c r="I130">
        <v>-26.8</v>
      </c>
      <c r="J130">
        <v>-25.9</v>
      </c>
      <c r="K130">
        <v>-25</v>
      </c>
      <c r="L130">
        <v>-24.4</v>
      </c>
      <c r="M130">
        <v>-23.7</v>
      </c>
      <c r="N130">
        <v>-23</v>
      </c>
      <c r="O130">
        <v>-22.8</v>
      </c>
      <c r="P130">
        <v>-22.1</v>
      </c>
      <c r="Q130">
        <v>-22.1</v>
      </c>
      <c r="R130">
        <v>-21.8</v>
      </c>
      <c r="S130">
        <v>1.1000000000000001</v>
      </c>
      <c r="T130">
        <f t="shared" si="1"/>
        <v>1.1000000000000001</v>
      </c>
      <c r="U130" s="41" t="s">
        <v>334</v>
      </c>
    </row>
    <row r="131" spans="1:22">
      <c r="B131" t="s">
        <v>227</v>
      </c>
      <c r="C131" t="s">
        <v>227</v>
      </c>
      <c r="D131">
        <v>102722</v>
      </c>
      <c r="E131">
        <v>60.28</v>
      </c>
      <c r="F131">
        <v>15.99</v>
      </c>
      <c r="G131">
        <v>-19.7</v>
      </c>
      <c r="H131">
        <v>-18.8</v>
      </c>
      <c r="I131">
        <v>-18.100000000000001</v>
      </c>
      <c r="J131">
        <v>-17.399999999999999</v>
      </c>
      <c r="K131">
        <v>-17.100000000000001</v>
      </c>
      <c r="L131">
        <v>-16.7</v>
      </c>
      <c r="M131">
        <v>-16.600000000000001</v>
      </c>
      <c r="N131">
        <v>-16.2</v>
      </c>
      <c r="O131">
        <v>-16.2</v>
      </c>
      <c r="P131">
        <v>-15.9</v>
      </c>
      <c r="Q131">
        <v>-15.7</v>
      </c>
      <c r="R131">
        <v>-15.4</v>
      </c>
      <c r="S131">
        <v>1.1000000000000001</v>
      </c>
      <c r="T131">
        <f t="shared" si="1"/>
        <v>1.1000000000000001</v>
      </c>
      <c r="U131" s="180" t="s">
        <v>227</v>
      </c>
    </row>
    <row r="132" spans="1:22">
      <c r="B132" t="s">
        <v>307</v>
      </c>
      <c r="C132" t="s">
        <v>307</v>
      </c>
      <c r="D132">
        <v>102109</v>
      </c>
      <c r="E132">
        <v>56.03</v>
      </c>
      <c r="F132">
        <v>12.73</v>
      </c>
      <c r="G132">
        <v>-10.4</v>
      </c>
      <c r="H132">
        <v>-9.6</v>
      </c>
      <c r="I132">
        <v>-8.9</v>
      </c>
      <c r="J132">
        <v>-8.9</v>
      </c>
      <c r="K132">
        <v>-8.6999999999999993</v>
      </c>
      <c r="L132">
        <v>-8.4</v>
      </c>
      <c r="M132">
        <v>-8.4</v>
      </c>
      <c r="N132">
        <v>-8.1999999999999993</v>
      </c>
      <c r="O132">
        <v>-8</v>
      </c>
      <c r="P132">
        <v>-7.8</v>
      </c>
      <c r="Q132">
        <v>-7.6</v>
      </c>
      <c r="R132">
        <v>-7.4</v>
      </c>
      <c r="S132">
        <v>0.9</v>
      </c>
      <c r="T132">
        <f t="shared" ref="T132:T195" si="2">VALUE(VLOOKUP(B132,FgeoVlookup,2,FALSE))</f>
        <v>0.9</v>
      </c>
      <c r="U132" s="41" t="s">
        <v>307</v>
      </c>
    </row>
    <row r="133" spans="1:22">
      <c r="B133" t="s">
        <v>406</v>
      </c>
      <c r="C133" t="s">
        <v>406</v>
      </c>
      <c r="D133">
        <v>102232</v>
      </c>
      <c r="E133">
        <v>58.08</v>
      </c>
      <c r="F133">
        <v>13.03</v>
      </c>
      <c r="G133">
        <v>-15.8</v>
      </c>
      <c r="H133">
        <v>-15.4</v>
      </c>
      <c r="I133">
        <v>-14.3</v>
      </c>
      <c r="J133">
        <v>-14.2</v>
      </c>
      <c r="K133">
        <v>-13.9</v>
      </c>
      <c r="L133">
        <v>-13.6</v>
      </c>
      <c r="M133">
        <v>-13.5</v>
      </c>
      <c r="N133">
        <v>-13.4</v>
      </c>
      <c r="O133">
        <v>-12.8</v>
      </c>
      <c r="P133">
        <v>-12.4</v>
      </c>
      <c r="Q133">
        <v>-12.2</v>
      </c>
      <c r="R133">
        <v>-11.6</v>
      </c>
      <c r="S133">
        <v>1</v>
      </c>
      <c r="T133">
        <f t="shared" si="2"/>
        <v>1</v>
      </c>
      <c r="U133" s="41" t="s">
        <v>406</v>
      </c>
    </row>
    <row r="134" spans="1:22">
      <c r="B134" t="s">
        <v>407</v>
      </c>
      <c r="C134" t="s">
        <v>407</v>
      </c>
      <c r="D134">
        <v>102217</v>
      </c>
      <c r="E134">
        <v>58.3</v>
      </c>
      <c r="F134">
        <v>14.28</v>
      </c>
      <c r="G134">
        <v>-14.8</v>
      </c>
      <c r="H134">
        <v>-14.3</v>
      </c>
      <c r="I134">
        <v>-13.5</v>
      </c>
      <c r="J134">
        <v>-12.7</v>
      </c>
      <c r="K134">
        <v>-12.7</v>
      </c>
      <c r="L134">
        <v>-12.3</v>
      </c>
      <c r="M134">
        <v>-12.3</v>
      </c>
      <c r="N134">
        <v>-12.3</v>
      </c>
      <c r="O134">
        <v>-11.9</v>
      </c>
      <c r="P134">
        <v>-11.5</v>
      </c>
      <c r="Q134">
        <v>-11.1</v>
      </c>
      <c r="R134">
        <v>-10.7</v>
      </c>
      <c r="S134">
        <v>1</v>
      </c>
      <c r="T134">
        <f t="shared" si="2"/>
        <v>1</v>
      </c>
      <c r="U134" s="41" t="s">
        <v>407</v>
      </c>
    </row>
    <row r="135" spans="1:22">
      <c r="B135" t="s">
        <v>246</v>
      </c>
      <c r="C135" t="s">
        <v>246</v>
      </c>
      <c r="D135">
        <v>102709</v>
      </c>
      <c r="E135">
        <v>60.55</v>
      </c>
      <c r="F135">
        <v>16.29</v>
      </c>
      <c r="G135">
        <v>-20.3</v>
      </c>
      <c r="H135">
        <v>-19.600000000000001</v>
      </c>
      <c r="I135">
        <v>-18.8</v>
      </c>
      <c r="J135">
        <v>-18.100000000000001</v>
      </c>
      <c r="K135">
        <v>-17.8</v>
      </c>
      <c r="L135">
        <v>-17.3</v>
      </c>
      <c r="M135">
        <v>-17.3</v>
      </c>
      <c r="N135">
        <v>-17.100000000000001</v>
      </c>
      <c r="O135">
        <v>-16.899999999999999</v>
      </c>
      <c r="P135">
        <v>-16.8</v>
      </c>
      <c r="Q135">
        <v>-16.5</v>
      </c>
      <c r="R135">
        <v>-16.3</v>
      </c>
      <c r="S135">
        <v>1.2</v>
      </c>
      <c r="T135">
        <f t="shared" si="2"/>
        <v>1.2</v>
      </c>
      <c r="U135" s="180" t="s">
        <v>246</v>
      </c>
    </row>
    <row r="136" spans="1:22">
      <c r="A136" t="s">
        <v>580</v>
      </c>
      <c r="B136" s="187" t="s">
        <v>404</v>
      </c>
      <c r="C136" t="s">
        <v>580</v>
      </c>
      <c r="D136">
        <v>102524</v>
      </c>
      <c r="E136">
        <v>58.85</v>
      </c>
      <c r="F136">
        <v>14.22</v>
      </c>
      <c r="G136">
        <v>-16.2</v>
      </c>
      <c r="H136">
        <v>-15.8</v>
      </c>
      <c r="I136">
        <v>-15</v>
      </c>
      <c r="J136">
        <v>-14.7</v>
      </c>
      <c r="K136">
        <v>-14.3</v>
      </c>
      <c r="L136">
        <v>-14.1</v>
      </c>
      <c r="M136">
        <v>-14</v>
      </c>
      <c r="N136">
        <v>-13.6</v>
      </c>
      <c r="O136">
        <v>-13.1</v>
      </c>
      <c r="P136">
        <v>-12.8</v>
      </c>
      <c r="Q136">
        <v>-12.6</v>
      </c>
      <c r="R136">
        <v>-12</v>
      </c>
      <c r="S136">
        <v>1</v>
      </c>
      <c r="T136">
        <f t="shared" si="2"/>
        <v>1</v>
      </c>
      <c r="U136" s="180" t="s">
        <v>404</v>
      </c>
    </row>
    <row r="137" spans="1:22">
      <c r="B137" t="s">
        <v>247</v>
      </c>
      <c r="C137" t="s">
        <v>247</v>
      </c>
      <c r="D137">
        <v>102720</v>
      </c>
      <c r="E137">
        <v>61.73</v>
      </c>
      <c r="F137">
        <v>17.11</v>
      </c>
      <c r="G137">
        <v>-19.5</v>
      </c>
      <c r="H137">
        <v>-19</v>
      </c>
      <c r="I137">
        <v>-17.899999999999999</v>
      </c>
      <c r="J137">
        <v>-17.600000000000001</v>
      </c>
      <c r="K137">
        <v>-16.8</v>
      </c>
      <c r="L137">
        <v>-16.100000000000001</v>
      </c>
      <c r="M137">
        <v>-15.7</v>
      </c>
      <c r="N137">
        <v>-15.6</v>
      </c>
      <c r="O137">
        <v>-15.3</v>
      </c>
      <c r="P137">
        <v>-14.9</v>
      </c>
      <c r="Q137">
        <v>-14.6</v>
      </c>
      <c r="R137">
        <v>-14.3</v>
      </c>
      <c r="S137">
        <v>1.2</v>
      </c>
      <c r="T137">
        <f t="shared" si="2"/>
        <v>1.2</v>
      </c>
      <c r="U137" s="180" t="s">
        <v>247</v>
      </c>
    </row>
    <row r="138" spans="1:22">
      <c r="B138" t="s">
        <v>283</v>
      </c>
      <c r="C138" t="s">
        <v>283</v>
      </c>
      <c r="D138">
        <v>102326</v>
      </c>
      <c r="E138">
        <v>57.5</v>
      </c>
      <c r="F138">
        <v>15.85</v>
      </c>
      <c r="G138">
        <v>-16.100000000000001</v>
      </c>
      <c r="H138">
        <v>-15.1</v>
      </c>
      <c r="I138">
        <v>-14.4</v>
      </c>
      <c r="J138">
        <v>-13.5</v>
      </c>
      <c r="K138">
        <v>-13</v>
      </c>
      <c r="L138">
        <v>-13</v>
      </c>
      <c r="M138">
        <v>-13</v>
      </c>
      <c r="N138">
        <v>-12.8</v>
      </c>
      <c r="O138">
        <v>-12.5</v>
      </c>
      <c r="P138">
        <v>-12.2</v>
      </c>
      <c r="Q138">
        <v>-11.9</v>
      </c>
      <c r="R138">
        <v>-11.5</v>
      </c>
      <c r="S138">
        <v>1</v>
      </c>
      <c r="T138">
        <f t="shared" si="2"/>
        <v>1</v>
      </c>
      <c r="U138" s="41" t="s">
        <v>283</v>
      </c>
    </row>
    <row r="139" spans="1:22">
      <c r="A139" t="s">
        <v>581</v>
      </c>
      <c r="B139" s="186" t="s">
        <v>253</v>
      </c>
      <c r="C139" t="s">
        <v>581</v>
      </c>
      <c r="D139">
        <v>102316</v>
      </c>
      <c r="E139">
        <v>57</v>
      </c>
      <c r="F139">
        <v>13.24</v>
      </c>
      <c r="G139">
        <v>-15.3</v>
      </c>
      <c r="H139">
        <v>-14.2</v>
      </c>
      <c r="I139">
        <v>-14</v>
      </c>
      <c r="J139">
        <v>-13</v>
      </c>
      <c r="K139">
        <v>-12.7</v>
      </c>
      <c r="L139">
        <v>-12.7</v>
      </c>
      <c r="M139">
        <v>-12.7</v>
      </c>
      <c r="N139">
        <v>-12.7</v>
      </c>
      <c r="O139">
        <v>-12.5</v>
      </c>
      <c r="P139">
        <v>-12.1</v>
      </c>
      <c r="Q139">
        <v>-11.9</v>
      </c>
      <c r="R139">
        <v>-11.9</v>
      </c>
      <c r="S139">
        <v>1</v>
      </c>
      <c r="T139">
        <f t="shared" si="2"/>
        <v>1</v>
      </c>
      <c r="U139" t="s">
        <v>253</v>
      </c>
    </row>
    <row r="140" spans="1:22">
      <c r="B140" t="s">
        <v>332</v>
      </c>
      <c r="C140" t="s">
        <v>332</v>
      </c>
      <c r="D140">
        <v>102637</v>
      </c>
      <c r="E140">
        <v>59.57</v>
      </c>
      <c r="F140">
        <v>17.53</v>
      </c>
      <c r="G140">
        <v>-17.8</v>
      </c>
      <c r="H140">
        <v>-17</v>
      </c>
      <c r="I140">
        <v>-16.2</v>
      </c>
      <c r="J140">
        <v>-15.8</v>
      </c>
      <c r="K140">
        <v>-15</v>
      </c>
      <c r="L140">
        <v>-14.8</v>
      </c>
      <c r="M140">
        <v>-14.7</v>
      </c>
      <c r="N140">
        <v>-14.4</v>
      </c>
      <c r="O140">
        <v>-14</v>
      </c>
      <c r="P140">
        <v>-13.7</v>
      </c>
      <c r="Q140">
        <v>-13.5</v>
      </c>
      <c r="R140">
        <v>-13.4</v>
      </c>
      <c r="S140">
        <v>1</v>
      </c>
      <c r="T140">
        <f t="shared" si="2"/>
        <v>1</v>
      </c>
      <c r="U140" s="41" t="s">
        <v>332</v>
      </c>
    </row>
    <row r="141" spans="1:22">
      <c r="B141" t="s">
        <v>431</v>
      </c>
      <c r="C141" t="s">
        <v>431</v>
      </c>
      <c r="D141">
        <v>102531</v>
      </c>
      <c r="E141">
        <v>59.77</v>
      </c>
      <c r="F141">
        <v>14.52</v>
      </c>
      <c r="G141">
        <v>-20.2</v>
      </c>
      <c r="H141">
        <v>-19.5</v>
      </c>
      <c r="I141">
        <v>-18.7</v>
      </c>
      <c r="J141">
        <v>-18.3</v>
      </c>
      <c r="K141">
        <v>-17.7</v>
      </c>
      <c r="L141">
        <v>-17.5</v>
      </c>
      <c r="M141">
        <v>-17.5</v>
      </c>
      <c r="N141">
        <v>-17.2</v>
      </c>
      <c r="O141">
        <v>-16.899999999999999</v>
      </c>
      <c r="P141">
        <v>-16.5</v>
      </c>
      <c r="Q141">
        <v>-16.2</v>
      </c>
      <c r="R141">
        <v>-16</v>
      </c>
      <c r="S141">
        <v>1.1000000000000001</v>
      </c>
      <c r="T141">
        <f t="shared" si="2"/>
        <v>1.1000000000000001</v>
      </c>
      <c r="U141" s="41" t="s">
        <v>431</v>
      </c>
    </row>
    <row r="142" spans="1:22">
      <c r="B142" t="s">
        <v>365</v>
      </c>
      <c r="C142" t="s">
        <v>365</v>
      </c>
      <c r="D142">
        <v>102806</v>
      </c>
      <c r="E142">
        <v>62.63</v>
      </c>
      <c r="F142">
        <v>17.93</v>
      </c>
      <c r="G142">
        <v>-21.9</v>
      </c>
      <c r="H142">
        <v>-20.8</v>
      </c>
      <c r="I142">
        <v>-20.2</v>
      </c>
      <c r="J142">
        <v>-19.5</v>
      </c>
      <c r="K142">
        <v>-18.899999999999999</v>
      </c>
      <c r="L142">
        <v>-18.399999999999999</v>
      </c>
      <c r="M142">
        <v>-18</v>
      </c>
      <c r="N142">
        <v>-17.8</v>
      </c>
      <c r="O142">
        <v>-17.2</v>
      </c>
      <c r="P142">
        <v>-17</v>
      </c>
      <c r="Q142">
        <v>-16.600000000000001</v>
      </c>
      <c r="R142">
        <v>-16.399999999999999</v>
      </c>
      <c r="S142">
        <v>1.3</v>
      </c>
      <c r="T142">
        <f t="shared" si="2"/>
        <v>1.3</v>
      </c>
      <c r="U142" s="41" t="s">
        <v>365</v>
      </c>
      <c r="V142" s="41"/>
    </row>
    <row r="143" spans="1:22">
      <c r="B143" t="s">
        <v>382</v>
      </c>
      <c r="C143" t="s">
        <v>382</v>
      </c>
      <c r="D143">
        <v>102254</v>
      </c>
      <c r="E143">
        <v>57.67</v>
      </c>
      <c r="F143">
        <v>12.12</v>
      </c>
      <c r="G143">
        <v>-13.1</v>
      </c>
      <c r="H143">
        <v>-12.3</v>
      </c>
      <c r="I143">
        <v>-11.7</v>
      </c>
      <c r="J143">
        <v>-11.4</v>
      </c>
      <c r="K143">
        <v>-11.4</v>
      </c>
      <c r="L143">
        <v>-11.4</v>
      </c>
      <c r="M143">
        <v>-11.1</v>
      </c>
      <c r="N143">
        <v>-11.1</v>
      </c>
      <c r="O143">
        <v>-10.8</v>
      </c>
      <c r="P143">
        <v>-10.6</v>
      </c>
      <c r="Q143">
        <v>-10.5</v>
      </c>
      <c r="R143">
        <v>-10.199999999999999</v>
      </c>
      <c r="S143">
        <v>0.9</v>
      </c>
      <c r="T143">
        <f t="shared" si="2"/>
        <v>0.9</v>
      </c>
      <c r="U143" s="41" t="s">
        <v>382</v>
      </c>
    </row>
    <row r="144" spans="1:22">
      <c r="B144" t="s">
        <v>308</v>
      </c>
      <c r="C144" t="s">
        <v>308</v>
      </c>
      <c r="D144">
        <v>102112</v>
      </c>
      <c r="E144">
        <v>56.16</v>
      </c>
      <c r="F144">
        <v>13.78</v>
      </c>
      <c r="G144">
        <v>-13.1</v>
      </c>
      <c r="H144">
        <v>-12</v>
      </c>
      <c r="I144">
        <v>-11.2</v>
      </c>
      <c r="J144">
        <v>-11.2</v>
      </c>
      <c r="K144">
        <v>-11.2</v>
      </c>
      <c r="L144">
        <v>-11</v>
      </c>
      <c r="M144">
        <v>-11</v>
      </c>
      <c r="N144">
        <v>-10.6</v>
      </c>
      <c r="O144">
        <v>-10.4</v>
      </c>
      <c r="P144">
        <v>-10.1</v>
      </c>
      <c r="Q144">
        <v>-9.8000000000000007</v>
      </c>
      <c r="R144">
        <v>-9.6</v>
      </c>
      <c r="S144">
        <v>0.9</v>
      </c>
      <c r="T144">
        <f t="shared" si="2"/>
        <v>0.9</v>
      </c>
      <c r="U144" s="41" t="s">
        <v>308</v>
      </c>
    </row>
    <row r="145" spans="1:22">
      <c r="B145" t="s">
        <v>297</v>
      </c>
      <c r="C145" t="s">
        <v>297</v>
      </c>
      <c r="D145">
        <v>102129</v>
      </c>
      <c r="E145">
        <v>56.21</v>
      </c>
      <c r="F145">
        <v>12.56</v>
      </c>
      <c r="G145">
        <v>-10.5</v>
      </c>
      <c r="H145">
        <v>-9.9</v>
      </c>
      <c r="I145">
        <v>-9.1</v>
      </c>
      <c r="J145">
        <v>-9.1</v>
      </c>
      <c r="K145">
        <v>-9</v>
      </c>
      <c r="L145">
        <v>-8.6999999999999993</v>
      </c>
      <c r="M145">
        <v>-8.6999999999999993</v>
      </c>
      <c r="N145">
        <v>-8.5</v>
      </c>
      <c r="O145">
        <v>-8.4</v>
      </c>
      <c r="P145">
        <v>-8</v>
      </c>
      <c r="Q145">
        <v>-7.8</v>
      </c>
      <c r="R145">
        <v>-7.6</v>
      </c>
      <c r="S145">
        <v>0.8</v>
      </c>
      <c r="T145">
        <f t="shared" si="2"/>
        <v>0.8</v>
      </c>
      <c r="U145" s="41" t="s">
        <v>297</v>
      </c>
    </row>
    <row r="146" spans="1:22">
      <c r="B146" t="s">
        <v>284</v>
      </c>
      <c r="C146" t="s">
        <v>284</v>
      </c>
      <c r="D146">
        <v>102340</v>
      </c>
      <c r="E146">
        <v>57.16</v>
      </c>
      <c r="F146">
        <v>16.03</v>
      </c>
      <c r="G146">
        <v>-15.5</v>
      </c>
      <c r="H146">
        <v>-14.2</v>
      </c>
      <c r="I146">
        <v>-13.5</v>
      </c>
      <c r="J146">
        <v>-13.1</v>
      </c>
      <c r="K146">
        <v>-12.8</v>
      </c>
      <c r="L146">
        <v>-12.6</v>
      </c>
      <c r="M146">
        <v>-12.3</v>
      </c>
      <c r="N146">
        <v>-12.2</v>
      </c>
      <c r="O146">
        <v>-11.9</v>
      </c>
      <c r="P146">
        <v>-11.6</v>
      </c>
      <c r="Q146">
        <v>-11.4</v>
      </c>
      <c r="R146">
        <v>-11</v>
      </c>
      <c r="S146">
        <v>1</v>
      </c>
      <c r="T146">
        <f t="shared" si="2"/>
        <v>1</v>
      </c>
      <c r="U146" s="41" t="s">
        <v>284</v>
      </c>
    </row>
    <row r="147" spans="1:22">
      <c r="B147" t="s">
        <v>309</v>
      </c>
      <c r="C147" t="s">
        <v>309</v>
      </c>
      <c r="D147">
        <v>102125</v>
      </c>
      <c r="E147">
        <v>55.86</v>
      </c>
      <c r="F147">
        <v>13.67</v>
      </c>
      <c r="G147">
        <v>-12.6</v>
      </c>
      <c r="H147">
        <v>-11.7</v>
      </c>
      <c r="I147">
        <v>-11.2</v>
      </c>
      <c r="J147">
        <v>-10.9</v>
      </c>
      <c r="K147">
        <v>-10.9</v>
      </c>
      <c r="L147">
        <v>-10.8</v>
      </c>
      <c r="M147">
        <v>-10.7</v>
      </c>
      <c r="N147">
        <v>-10.199999999999999</v>
      </c>
      <c r="O147">
        <v>-10</v>
      </c>
      <c r="P147">
        <v>-9.8000000000000007</v>
      </c>
      <c r="Q147">
        <v>-9.5</v>
      </c>
      <c r="R147">
        <v>-9.3000000000000007</v>
      </c>
      <c r="S147">
        <v>0.9</v>
      </c>
      <c r="T147">
        <f t="shared" si="2"/>
        <v>0.9</v>
      </c>
      <c r="U147" s="41" t="s">
        <v>309</v>
      </c>
    </row>
    <row r="148" spans="1:22">
      <c r="B148" t="s">
        <v>310</v>
      </c>
      <c r="C148" t="s">
        <v>310</v>
      </c>
      <c r="D148">
        <v>102127</v>
      </c>
      <c r="E148">
        <v>55.93</v>
      </c>
      <c r="F148">
        <v>13.55</v>
      </c>
      <c r="G148">
        <v>-12.6</v>
      </c>
      <c r="H148">
        <v>-11.7</v>
      </c>
      <c r="I148">
        <v>-11.1</v>
      </c>
      <c r="J148">
        <v>-10.8</v>
      </c>
      <c r="K148">
        <v>-10.8</v>
      </c>
      <c r="L148">
        <v>-10.8</v>
      </c>
      <c r="M148">
        <v>-10.7</v>
      </c>
      <c r="N148">
        <v>-10.199999999999999</v>
      </c>
      <c r="O148">
        <v>-10</v>
      </c>
      <c r="P148">
        <v>-9.6999999999999993</v>
      </c>
      <c r="Q148">
        <v>-9.5</v>
      </c>
      <c r="R148">
        <v>-9.1999999999999993</v>
      </c>
      <c r="S148">
        <v>0.9</v>
      </c>
      <c r="T148">
        <f t="shared" si="2"/>
        <v>0.9</v>
      </c>
      <c r="U148" s="41" t="s">
        <v>310</v>
      </c>
    </row>
    <row r="149" spans="1:22">
      <c r="B149" t="s">
        <v>102</v>
      </c>
      <c r="C149" t="s">
        <v>102</v>
      </c>
      <c r="D149">
        <v>102008</v>
      </c>
      <c r="E149">
        <v>66.61</v>
      </c>
      <c r="F149">
        <v>19.84</v>
      </c>
      <c r="G149">
        <v>-34.5</v>
      </c>
      <c r="H149">
        <v>-33.4</v>
      </c>
      <c r="I149">
        <v>-32.299999999999997</v>
      </c>
      <c r="J149">
        <v>-31.5</v>
      </c>
      <c r="K149">
        <v>-30.5</v>
      </c>
      <c r="L149">
        <v>-29.3</v>
      </c>
      <c r="M149">
        <v>-29.3</v>
      </c>
      <c r="N149">
        <v>-29</v>
      </c>
      <c r="O149">
        <v>-28.5</v>
      </c>
      <c r="P149">
        <v>-28.2</v>
      </c>
      <c r="Q149">
        <v>-27.8</v>
      </c>
      <c r="R149">
        <v>-27.6</v>
      </c>
      <c r="S149">
        <v>1.8</v>
      </c>
      <c r="T149">
        <f t="shared" si="2"/>
        <v>1.8</v>
      </c>
      <c r="U149" s="41" t="s">
        <v>102</v>
      </c>
    </row>
    <row r="150" spans="1:22">
      <c r="B150" t="s">
        <v>214</v>
      </c>
      <c r="C150" t="s">
        <v>214</v>
      </c>
      <c r="D150">
        <v>102320</v>
      </c>
      <c r="E150">
        <v>57.76</v>
      </c>
      <c r="F150">
        <v>14.19</v>
      </c>
      <c r="G150">
        <v>-16</v>
      </c>
      <c r="H150">
        <v>-15.1</v>
      </c>
      <c r="I150">
        <v>-14.6</v>
      </c>
      <c r="J150">
        <v>-14.1</v>
      </c>
      <c r="K150">
        <v>-13.6</v>
      </c>
      <c r="L150">
        <v>-13.4</v>
      </c>
      <c r="M150">
        <v>-13.3</v>
      </c>
      <c r="N150">
        <v>-13</v>
      </c>
      <c r="O150">
        <v>-12.8</v>
      </c>
      <c r="P150">
        <v>-12.4</v>
      </c>
      <c r="Q150">
        <v>-12.1</v>
      </c>
      <c r="R150">
        <v>-11.7</v>
      </c>
      <c r="S150">
        <v>1</v>
      </c>
      <c r="T150">
        <f t="shared" si="2"/>
        <v>1</v>
      </c>
      <c r="U150" s="41" t="s">
        <v>214</v>
      </c>
    </row>
    <row r="151" spans="1:22">
      <c r="B151" t="s">
        <v>288</v>
      </c>
      <c r="C151" t="s">
        <v>288</v>
      </c>
      <c r="D151">
        <v>102017</v>
      </c>
      <c r="E151">
        <v>65.86</v>
      </c>
      <c r="F151">
        <v>23.16</v>
      </c>
      <c r="G151">
        <v>-27.4</v>
      </c>
      <c r="H151">
        <v>-26.6</v>
      </c>
      <c r="I151">
        <v>-25.7</v>
      </c>
      <c r="J151">
        <v>-25</v>
      </c>
      <c r="K151">
        <v>-24.6</v>
      </c>
      <c r="L151">
        <v>-24.3</v>
      </c>
      <c r="M151">
        <v>-23.9</v>
      </c>
      <c r="N151">
        <v>-23.6</v>
      </c>
      <c r="O151">
        <v>-23.5</v>
      </c>
      <c r="P151">
        <v>-23</v>
      </c>
      <c r="Q151">
        <v>-22.8</v>
      </c>
      <c r="R151">
        <v>-22.5</v>
      </c>
      <c r="S151">
        <v>1.5</v>
      </c>
      <c r="T151">
        <f t="shared" si="2"/>
        <v>1.5</v>
      </c>
      <c r="U151" s="41" t="s">
        <v>288</v>
      </c>
    </row>
    <row r="152" spans="1:22">
      <c r="B152" t="s">
        <v>116</v>
      </c>
      <c r="C152" t="s">
        <v>116</v>
      </c>
      <c r="D152">
        <v>102307</v>
      </c>
      <c r="E152">
        <v>56.68</v>
      </c>
      <c r="F152">
        <v>16.350000000000001</v>
      </c>
      <c r="G152">
        <v>-12.6</v>
      </c>
      <c r="H152">
        <v>-11.8</v>
      </c>
      <c r="I152">
        <v>-11.5</v>
      </c>
      <c r="J152">
        <v>-11.1</v>
      </c>
      <c r="K152">
        <v>-10.7</v>
      </c>
      <c r="L152">
        <v>-10.5</v>
      </c>
      <c r="M152">
        <v>-10.4</v>
      </c>
      <c r="N152">
        <v>-10</v>
      </c>
      <c r="O152">
        <v>-9.6999999999999993</v>
      </c>
      <c r="P152">
        <v>-9.5</v>
      </c>
      <c r="Q152">
        <v>-9.1999999999999993</v>
      </c>
      <c r="R152">
        <v>-8.9</v>
      </c>
      <c r="S152">
        <v>0.9</v>
      </c>
      <c r="T152">
        <f t="shared" si="2"/>
        <v>0.9</v>
      </c>
      <c r="U152" s="41" t="s">
        <v>116</v>
      </c>
    </row>
    <row r="153" spans="1:22">
      <c r="B153" t="s">
        <v>408</v>
      </c>
      <c r="C153" t="s">
        <v>408</v>
      </c>
      <c r="D153">
        <v>102218</v>
      </c>
      <c r="E153">
        <v>58.54</v>
      </c>
      <c r="F153">
        <v>14.51</v>
      </c>
      <c r="G153">
        <v>-15.2</v>
      </c>
      <c r="H153">
        <v>-14.5</v>
      </c>
      <c r="I153">
        <v>-13.7</v>
      </c>
      <c r="J153">
        <v>-13.2</v>
      </c>
      <c r="K153">
        <v>-13.1</v>
      </c>
      <c r="L153">
        <v>-12.8</v>
      </c>
      <c r="M153">
        <v>-12.8</v>
      </c>
      <c r="N153">
        <v>-12.7</v>
      </c>
      <c r="O153">
        <v>-12.1</v>
      </c>
      <c r="P153">
        <v>-11.8</v>
      </c>
      <c r="Q153">
        <v>-11.4</v>
      </c>
      <c r="R153">
        <v>-10.9</v>
      </c>
      <c r="S153">
        <v>1</v>
      </c>
      <c r="T153">
        <f t="shared" si="2"/>
        <v>1</v>
      </c>
      <c r="U153" s="41" t="s">
        <v>408</v>
      </c>
    </row>
    <row r="154" spans="1:22">
      <c r="B154" t="s">
        <v>432</v>
      </c>
      <c r="C154" t="s">
        <v>432</v>
      </c>
      <c r="D154">
        <v>102510</v>
      </c>
      <c r="E154">
        <v>59.32</v>
      </c>
      <c r="F154">
        <v>14.53</v>
      </c>
      <c r="G154">
        <v>-18.5</v>
      </c>
      <c r="H154">
        <v>-17.7</v>
      </c>
      <c r="I154">
        <v>-17.3</v>
      </c>
      <c r="J154">
        <v>-16.3</v>
      </c>
      <c r="K154">
        <v>-16.2</v>
      </c>
      <c r="L154">
        <v>-15.8</v>
      </c>
      <c r="M154">
        <v>-15.8</v>
      </c>
      <c r="N154">
        <v>-15.7</v>
      </c>
      <c r="O154">
        <v>-15.3</v>
      </c>
      <c r="P154">
        <v>-15</v>
      </c>
      <c r="Q154">
        <v>-14.6</v>
      </c>
      <c r="R154">
        <v>-14.2</v>
      </c>
      <c r="S154">
        <v>1.1000000000000001</v>
      </c>
      <c r="T154">
        <f t="shared" si="2"/>
        <v>1.1000000000000001</v>
      </c>
      <c r="U154" s="41" t="s">
        <v>432</v>
      </c>
    </row>
    <row r="155" spans="1:22">
      <c r="B155" t="s">
        <v>111</v>
      </c>
      <c r="C155" t="s">
        <v>111</v>
      </c>
      <c r="D155">
        <v>102507</v>
      </c>
      <c r="E155">
        <v>59.39</v>
      </c>
      <c r="F155">
        <v>13.51</v>
      </c>
      <c r="G155">
        <v>-18.899999999999999</v>
      </c>
      <c r="H155">
        <v>-17.899999999999999</v>
      </c>
      <c r="I155">
        <v>-17.399999999999999</v>
      </c>
      <c r="J155">
        <v>-17.100000000000001</v>
      </c>
      <c r="K155">
        <v>-16.399999999999999</v>
      </c>
      <c r="L155">
        <v>-16.100000000000001</v>
      </c>
      <c r="M155">
        <v>-16.100000000000001</v>
      </c>
      <c r="N155">
        <v>-16.100000000000001</v>
      </c>
      <c r="O155">
        <v>-15.8</v>
      </c>
      <c r="P155">
        <v>-15.5</v>
      </c>
      <c r="Q155">
        <v>-15</v>
      </c>
      <c r="R155">
        <v>-14.7</v>
      </c>
      <c r="S155">
        <v>1.1000000000000001</v>
      </c>
      <c r="T155">
        <f t="shared" si="2"/>
        <v>1.1000000000000001</v>
      </c>
      <c r="U155" s="41" t="s">
        <v>111</v>
      </c>
    </row>
    <row r="156" spans="1:22">
      <c r="B156" t="s">
        <v>345</v>
      </c>
      <c r="C156" t="s">
        <v>345</v>
      </c>
      <c r="D156">
        <v>102520</v>
      </c>
      <c r="E156">
        <v>59.51</v>
      </c>
      <c r="F156">
        <v>13.32</v>
      </c>
      <c r="G156">
        <v>-19.899999999999999</v>
      </c>
      <c r="H156">
        <v>-18.8</v>
      </c>
      <c r="I156">
        <v>-18.3</v>
      </c>
      <c r="J156">
        <v>-17.8</v>
      </c>
      <c r="K156">
        <v>-17.2</v>
      </c>
      <c r="L156">
        <v>-17</v>
      </c>
      <c r="M156">
        <v>-17</v>
      </c>
      <c r="N156">
        <v>-16.899999999999999</v>
      </c>
      <c r="O156">
        <v>-16.600000000000001</v>
      </c>
      <c r="P156">
        <v>-16.3</v>
      </c>
      <c r="Q156">
        <v>-16</v>
      </c>
      <c r="R156">
        <v>-15.7</v>
      </c>
      <c r="S156">
        <v>1.1000000000000001</v>
      </c>
      <c r="T156">
        <f t="shared" si="2"/>
        <v>1.1000000000000001</v>
      </c>
      <c r="U156" s="41" t="s">
        <v>345</v>
      </c>
    </row>
    <row r="157" spans="1:22">
      <c r="A157" t="s">
        <v>582</v>
      </c>
      <c r="B157" s="186" t="s">
        <v>412</v>
      </c>
      <c r="C157" t="s">
        <v>582</v>
      </c>
      <c r="D157">
        <v>102205</v>
      </c>
      <c r="E157">
        <v>57.49</v>
      </c>
      <c r="F157">
        <v>12.69</v>
      </c>
      <c r="G157">
        <v>-14.3</v>
      </c>
      <c r="H157">
        <v>-13</v>
      </c>
      <c r="I157">
        <v>-12.7</v>
      </c>
      <c r="J157">
        <v>-12.3</v>
      </c>
      <c r="K157">
        <v>-12</v>
      </c>
      <c r="L157">
        <v>-11.9</v>
      </c>
      <c r="M157">
        <v>-11.9</v>
      </c>
      <c r="N157">
        <v>-11.9</v>
      </c>
      <c r="O157">
        <v>-11.6</v>
      </c>
      <c r="P157">
        <v>-11.4</v>
      </c>
      <c r="Q157">
        <v>-11.1</v>
      </c>
      <c r="R157">
        <v>-10.9</v>
      </c>
      <c r="S157">
        <v>1</v>
      </c>
      <c r="T157">
        <f t="shared" si="2"/>
        <v>1</v>
      </c>
      <c r="U157" s="41" t="s">
        <v>412</v>
      </c>
      <c r="V157" s="41"/>
    </row>
    <row r="158" spans="1:22">
      <c r="B158" t="s">
        <v>296</v>
      </c>
      <c r="C158" t="s">
        <v>296</v>
      </c>
      <c r="D158">
        <v>102014</v>
      </c>
      <c r="E158">
        <v>67.849999999999994</v>
      </c>
      <c r="F158">
        <v>20.25</v>
      </c>
      <c r="G158">
        <v>-30</v>
      </c>
      <c r="H158">
        <v>-29.2</v>
      </c>
      <c r="I158">
        <v>-28.5</v>
      </c>
      <c r="J158">
        <v>-27.5</v>
      </c>
      <c r="K158">
        <v>-26.5</v>
      </c>
      <c r="L158">
        <v>-26.2</v>
      </c>
      <c r="M158">
        <v>-25.7</v>
      </c>
      <c r="N158">
        <v>-25</v>
      </c>
      <c r="O158">
        <v>-24.7</v>
      </c>
      <c r="P158">
        <v>-24.4</v>
      </c>
      <c r="Q158">
        <v>-24.3</v>
      </c>
      <c r="R158">
        <v>-24.2</v>
      </c>
      <c r="S158">
        <v>1.9</v>
      </c>
      <c r="T158">
        <f t="shared" si="2"/>
        <v>1.9</v>
      </c>
      <c r="U158" s="41" t="s">
        <v>296</v>
      </c>
    </row>
    <row r="159" spans="1:22">
      <c r="B159" t="s">
        <v>311</v>
      </c>
      <c r="C159" t="s">
        <v>311</v>
      </c>
      <c r="D159">
        <v>102110</v>
      </c>
      <c r="E159">
        <v>56.14</v>
      </c>
      <c r="F159">
        <v>13.16</v>
      </c>
      <c r="G159">
        <v>-12.4</v>
      </c>
      <c r="H159">
        <v>-11.6</v>
      </c>
      <c r="I159">
        <v>-10.7</v>
      </c>
      <c r="J159">
        <v>-10.7</v>
      </c>
      <c r="K159">
        <v>-10.6</v>
      </c>
      <c r="L159">
        <v>-10.6</v>
      </c>
      <c r="M159">
        <v>-10.6</v>
      </c>
      <c r="N159">
        <v>-10.1</v>
      </c>
      <c r="O159">
        <v>-10</v>
      </c>
      <c r="P159">
        <v>-9.6999999999999993</v>
      </c>
      <c r="Q159">
        <v>-9.3000000000000007</v>
      </c>
      <c r="R159">
        <v>-9.1999999999999993</v>
      </c>
      <c r="S159">
        <v>0.9</v>
      </c>
      <c r="T159">
        <f t="shared" si="2"/>
        <v>0.9</v>
      </c>
      <c r="U159" s="41" t="s">
        <v>311</v>
      </c>
    </row>
    <row r="160" spans="1:22">
      <c r="B160" t="s">
        <v>333</v>
      </c>
      <c r="C160" t="s">
        <v>333</v>
      </c>
      <c r="D160">
        <v>102638</v>
      </c>
      <c r="E160">
        <v>59.73</v>
      </c>
      <c r="F160">
        <v>17.79</v>
      </c>
      <c r="G160">
        <v>-17.899999999999999</v>
      </c>
      <c r="H160">
        <v>-17.2</v>
      </c>
      <c r="I160">
        <v>-16.600000000000001</v>
      </c>
      <c r="J160">
        <v>-16.100000000000001</v>
      </c>
      <c r="K160">
        <v>-15.3</v>
      </c>
      <c r="L160">
        <v>-15</v>
      </c>
      <c r="M160">
        <v>-14.7</v>
      </c>
      <c r="N160">
        <v>-14.5</v>
      </c>
      <c r="O160">
        <v>-14.3</v>
      </c>
      <c r="P160">
        <v>-14</v>
      </c>
      <c r="Q160">
        <v>-13.8</v>
      </c>
      <c r="R160">
        <v>-13.7</v>
      </c>
      <c r="S160">
        <v>1</v>
      </c>
      <c r="T160">
        <f t="shared" si="2"/>
        <v>1</v>
      </c>
      <c r="U160" s="41" t="s">
        <v>333</v>
      </c>
      <c r="V160" s="181"/>
    </row>
    <row r="161" spans="2:22">
      <c r="B161" t="s">
        <v>366</v>
      </c>
      <c r="C161" t="s">
        <v>366</v>
      </c>
      <c r="D161">
        <v>102807</v>
      </c>
      <c r="E161">
        <v>62.93</v>
      </c>
      <c r="F161">
        <v>17.8</v>
      </c>
      <c r="G161">
        <v>-24.3</v>
      </c>
      <c r="H161">
        <v>-23.5</v>
      </c>
      <c r="I161">
        <v>-22.8</v>
      </c>
      <c r="J161">
        <v>-22.1</v>
      </c>
      <c r="K161">
        <v>-21.1</v>
      </c>
      <c r="L161">
        <v>-20.399999999999999</v>
      </c>
      <c r="M161">
        <v>-20</v>
      </c>
      <c r="N161">
        <v>-19.7</v>
      </c>
      <c r="O161">
        <v>-19.5</v>
      </c>
      <c r="P161">
        <v>-19.2</v>
      </c>
      <c r="Q161">
        <v>-18.899999999999999</v>
      </c>
      <c r="R161">
        <v>-18.7</v>
      </c>
      <c r="S161">
        <v>1.3</v>
      </c>
      <c r="T161">
        <f t="shared" si="2"/>
        <v>1.3</v>
      </c>
      <c r="U161" s="41" t="s">
        <v>366</v>
      </c>
      <c r="V161" s="41"/>
    </row>
    <row r="162" spans="2:22">
      <c r="B162" t="s">
        <v>312</v>
      </c>
      <c r="C162" t="s">
        <v>312</v>
      </c>
      <c r="D162">
        <v>102113</v>
      </c>
      <c r="E162">
        <v>56.02</v>
      </c>
      <c r="F162">
        <v>14.14</v>
      </c>
      <c r="G162">
        <v>-12.1</v>
      </c>
      <c r="H162">
        <v>-11.1</v>
      </c>
      <c r="I162">
        <v>-10.5</v>
      </c>
      <c r="J162">
        <v>-10.4</v>
      </c>
      <c r="K162">
        <v>-10.3</v>
      </c>
      <c r="L162">
        <v>-10.1</v>
      </c>
      <c r="M162">
        <v>-10</v>
      </c>
      <c r="N162">
        <v>-9.6</v>
      </c>
      <c r="O162">
        <v>-9.4</v>
      </c>
      <c r="P162">
        <v>-9.1999999999999993</v>
      </c>
      <c r="Q162">
        <v>-8.9</v>
      </c>
      <c r="R162">
        <v>-8.8000000000000007</v>
      </c>
      <c r="S162">
        <v>0.9</v>
      </c>
      <c r="T162">
        <f t="shared" si="2"/>
        <v>0.9</v>
      </c>
      <c r="U162" s="41" t="s">
        <v>312</v>
      </c>
      <c r="V162" s="41"/>
    </row>
    <row r="163" spans="2:22">
      <c r="B163" t="s">
        <v>346</v>
      </c>
      <c r="C163" t="s">
        <v>346</v>
      </c>
      <c r="D163">
        <v>102508</v>
      </c>
      <c r="E163">
        <v>59.31</v>
      </c>
      <c r="F163">
        <v>14.11</v>
      </c>
      <c r="G163">
        <v>-18.600000000000001</v>
      </c>
      <c r="H163">
        <v>-17.7</v>
      </c>
      <c r="I163">
        <v>-16.899999999999999</v>
      </c>
      <c r="J163">
        <v>-16.3</v>
      </c>
      <c r="K163">
        <v>-16</v>
      </c>
      <c r="L163">
        <v>-15.5</v>
      </c>
      <c r="M163">
        <v>-15.5</v>
      </c>
      <c r="N163">
        <v>-15.5</v>
      </c>
      <c r="O163">
        <v>-15.4</v>
      </c>
      <c r="P163">
        <v>-15.1</v>
      </c>
      <c r="Q163">
        <v>-14.8</v>
      </c>
      <c r="R163">
        <v>-14.3</v>
      </c>
      <c r="S163">
        <v>1.1000000000000001</v>
      </c>
      <c r="T163">
        <f t="shared" si="2"/>
        <v>1.1000000000000001</v>
      </c>
      <c r="U163" s="41" t="s">
        <v>346</v>
      </c>
      <c r="V163" s="41"/>
    </row>
    <row r="164" spans="2:22">
      <c r="B164" t="s">
        <v>426</v>
      </c>
      <c r="C164" t="s">
        <v>426</v>
      </c>
      <c r="D164">
        <v>102513</v>
      </c>
      <c r="E164">
        <v>59.12</v>
      </c>
      <c r="F164">
        <v>15.15</v>
      </c>
      <c r="G164">
        <v>-17.8</v>
      </c>
      <c r="H164">
        <v>-17.100000000000001</v>
      </c>
      <c r="I164">
        <v>-16.2</v>
      </c>
      <c r="J164">
        <v>-15.6</v>
      </c>
      <c r="K164">
        <v>-15.1</v>
      </c>
      <c r="L164">
        <v>-14.9</v>
      </c>
      <c r="M164">
        <v>-14.9</v>
      </c>
      <c r="N164">
        <v>-14.6</v>
      </c>
      <c r="O164">
        <v>-14.1</v>
      </c>
      <c r="P164">
        <v>-13.6</v>
      </c>
      <c r="Q164">
        <v>-13.4</v>
      </c>
      <c r="R164">
        <v>-13.1</v>
      </c>
      <c r="S164">
        <v>1</v>
      </c>
      <c r="T164">
        <f t="shared" si="2"/>
        <v>1</v>
      </c>
      <c r="U164" s="41" t="s">
        <v>426</v>
      </c>
      <c r="V164" s="41"/>
    </row>
    <row r="165" spans="2:22">
      <c r="B165" t="s">
        <v>491</v>
      </c>
      <c r="C165" t="s">
        <v>491</v>
      </c>
      <c r="D165">
        <v>102633</v>
      </c>
      <c r="E165">
        <v>59.42</v>
      </c>
      <c r="F165">
        <v>16.100000000000001</v>
      </c>
      <c r="G165">
        <v>-18.2</v>
      </c>
      <c r="H165">
        <v>-17.600000000000001</v>
      </c>
      <c r="I165">
        <v>-16.899999999999999</v>
      </c>
      <c r="J165">
        <v>-16.2</v>
      </c>
      <c r="K165">
        <v>-15.7</v>
      </c>
      <c r="L165">
        <v>-15.6</v>
      </c>
      <c r="M165">
        <v>-15.1</v>
      </c>
      <c r="N165">
        <v>-14.9</v>
      </c>
      <c r="O165">
        <v>-14.6</v>
      </c>
      <c r="P165">
        <v>-14.1</v>
      </c>
      <c r="Q165">
        <v>-14</v>
      </c>
      <c r="R165">
        <v>-13.9</v>
      </c>
      <c r="S165">
        <v>1</v>
      </c>
      <c r="T165">
        <f t="shared" si="2"/>
        <v>1</v>
      </c>
      <c r="U165" s="41" t="s">
        <v>491</v>
      </c>
    </row>
    <row r="166" spans="2:22">
      <c r="B166" t="s">
        <v>383</v>
      </c>
      <c r="C166" t="s">
        <v>383</v>
      </c>
      <c r="D166">
        <v>102202</v>
      </c>
      <c r="E166">
        <v>57.87</v>
      </c>
      <c r="F166">
        <v>11.97</v>
      </c>
      <c r="G166">
        <v>-13</v>
      </c>
      <c r="H166">
        <v>-12.6</v>
      </c>
      <c r="I166">
        <v>-12</v>
      </c>
      <c r="J166">
        <v>-11.6</v>
      </c>
      <c r="K166">
        <v>-11.6</v>
      </c>
      <c r="L166">
        <v>-11.4</v>
      </c>
      <c r="M166">
        <v>-11.1</v>
      </c>
      <c r="N166">
        <v>-11.1</v>
      </c>
      <c r="O166">
        <v>-11</v>
      </c>
      <c r="P166">
        <v>-10.6</v>
      </c>
      <c r="Q166">
        <v>-10.4</v>
      </c>
      <c r="R166">
        <v>-10.199999999999999</v>
      </c>
      <c r="S166">
        <v>0.9</v>
      </c>
      <c r="T166">
        <f t="shared" si="2"/>
        <v>0.9</v>
      </c>
      <c r="U166" s="41" t="s">
        <v>383</v>
      </c>
    </row>
    <row r="167" spans="2:22">
      <c r="B167" t="s">
        <v>313</v>
      </c>
      <c r="C167" t="s">
        <v>313</v>
      </c>
      <c r="D167">
        <v>102124</v>
      </c>
      <c r="E167">
        <v>55.79</v>
      </c>
      <c r="F167">
        <v>13.11</v>
      </c>
      <c r="G167">
        <v>-11</v>
      </c>
      <c r="H167">
        <v>-10.4</v>
      </c>
      <c r="I167">
        <v>-9.6</v>
      </c>
      <c r="J167">
        <v>-9.4</v>
      </c>
      <c r="K167">
        <v>-9.1999999999999993</v>
      </c>
      <c r="L167">
        <v>-9.1</v>
      </c>
      <c r="M167">
        <v>-9</v>
      </c>
      <c r="N167">
        <v>-8.6</v>
      </c>
      <c r="O167">
        <v>-8.5</v>
      </c>
      <c r="P167">
        <v>-8.3000000000000007</v>
      </c>
      <c r="Q167">
        <v>-7.9</v>
      </c>
      <c r="R167">
        <v>-7.8</v>
      </c>
      <c r="S167">
        <v>0.9</v>
      </c>
      <c r="T167">
        <f t="shared" si="2"/>
        <v>0.9</v>
      </c>
      <c r="U167" s="41" t="s">
        <v>313</v>
      </c>
    </row>
    <row r="168" spans="2:22">
      <c r="B168" t="s">
        <v>374</v>
      </c>
      <c r="C168" t="s">
        <v>374</v>
      </c>
      <c r="D168">
        <v>102602</v>
      </c>
      <c r="E168">
        <v>59.51</v>
      </c>
      <c r="F168">
        <v>16.010000000000002</v>
      </c>
      <c r="G168">
        <v>-18.3</v>
      </c>
      <c r="H168">
        <v>-17.600000000000001</v>
      </c>
      <c r="I168">
        <v>-17.100000000000001</v>
      </c>
      <c r="J168">
        <v>-16.399999999999999</v>
      </c>
      <c r="K168">
        <v>-15.9</v>
      </c>
      <c r="L168">
        <v>-15.8</v>
      </c>
      <c r="M168">
        <v>-15.4</v>
      </c>
      <c r="N168">
        <v>-15.1</v>
      </c>
      <c r="O168">
        <v>-14.8</v>
      </c>
      <c r="P168">
        <v>-14.4</v>
      </c>
      <c r="Q168">
        <v>-14.2</v>
      </c>
      <c r="R168">
        <v>-14.1</v>
      </c>
      <c r="S168">
        <v>1</v>
      </c>
      <c r="T168">
        <f t="shared" si="2"/>
        <v>1</v>
      </c>
      <c r="U168" s="41" t="s">
        <v>374</v>
      </c>
    </row>
    <row r="169" spans="2:22">
      <c r="B169" t="s">
        <v>298</v>
      </c>
      <c r="C169" t="s">
        <v>298</v>
      </c>
      <c r="D169">
        <v>102108</v>
      </c>
      <c r="E169">
        <v>55.88</v>
      </c>
      <c r="F169">
        <v>12.84</v>
      </c>
      <c r="G169">
        <v>-10.5</v>
      </c>
      <c r="H169">
        <v>-9.8000000000000007</v>
      </c>
      <c r="I169">
        <v>-9</v>
      </c>
      <c r="J169">
        <v>-9</v>
      </c>
      <c r="K169">
        <v>-8.5</v>
      </c>
      <c r="L169">
        <v>-8.5</v>
      </c>
      <c r="M169">
        <v>-8.5</v>
      </c>
      <c r="N169">
        <v>-8.3000000000000007</v>
      </c>
      <c r="O169">
        <v>-8</v>
      </c>
      <c r="P169">
        <v>-7.9</v>
      </c>
      <c r="Q169">
        <v>-7.6</v>
      </c>
      <c r="R169">
        <v>-7.5</v>
      </c>
      <c r="S169">
        <v>0.8</v>
      </c>
      <c r="T169">
        <f t="shared" si="2"/>
        <v>0.8</v>
      </c>
      <c r="U169" s="41" t="s">
        <v>298</v>
      </c>
    </row>
    <row r="170" spans="2:22">
      <c r="B170" t="s">
        <v>427</v>
      </c>
      <c r="C170" t="s">
        <v>427</v>
      </c>
      <c r="D170">
        <v>102511</v>
      </c>
      <c r="E170">
        <v>58.98</v>
      </c>
      <c r="F170">
        <v>14.62</v>
      </c>
      <c r="G170">
        <v>-17</v>
      </c>
      <c r="H170">
        <v>-16.399999999999999</v>
      </c>
      <c r="I170">
        <v>-15.6</v>
      </c>
      <c r="J170">
        <v>-15.4</v>
      </c>
      <c r="K170">
        <v>-15</v>
      </c>
      <c r="L170">
        <v>-14.6</v>
      </c>
      <c r="M170">
        <v>-14.5</v>
      </c>
      <c r="N170">
        <v>-14.4</v>
      </c>
      <c r="O170">
        <v>-13.9</v>
      </c>
      <c r="P170">
        <v>-13.5</v>
      </c>
      <c r="Q170">
        <v>-13</v>
      </c>
      <c r="R170">
        <v>-12.9</v>
      </c>
      <c r="S170">
        <v>1</v>
      </c>
      <c r="T170">
        <f t="shared" si="2"/>
        <v>1</v>
      </c>
      <c r="U170" s="41" t="s">
        <v>427</v>
      </c>
    </row>
    <row r="171" spans="2:22">
      <c r="B171" t="s">
        <v>428</v>
      </c>
      <c r="C171" t="s">
        <v>428</v>
      </c>
      <c r="D171">
        <v>102529</v>
      </c>
      <c r="E171">
        <v>59.17</v>
      </c>
      <c r="F171">
        <v>14.87</v>
      </c>
      <c r="G171">
        <v>-17.899999999999999</v>
      </c>
      <c r="H171">
        <v>-17.100000000000001</v>
      </c>
      <c r="I171">
        <v>-16.2</v>
      </c>
      <c r="J171">
        <v>-15.6</v>
      </c>
      <c r="K171">
        <v>-15.4</v>
      </c>
      <c r="L171">
        <v>-15.1</v>
      </c>
      <c r="M171">
        <v>-15</v>
      </c>
      <c r="N171">
        <v>-14.7</v>
      </c>
      <c r="O171">
        <v>-14.4</v>
      </c>
      <c r="P171">
        <v>-14</v>
      </c>
      <c r="Q171">
        <v>-13.5</v>
      </c>
      <c r="R171">
        <v>-13.4</v>
      </c>
      <c r="S171">
        <v>1</v>
      </c>
      <c r="T171">
        <f t="shared" si="2"/>
        <v>1</v>
      </c>
      <c r="U171" s="41" t="s">
        <v>428</v>
      </c>
    </row>
    <row r="172" spans="2:22">
      <c r="B172" t="s">
        <v>231</v>
      </c>
      <c r="C172" t="s">
        <v>231</v>
      </c>
      <c r="D172">
        <v>102706</v>
      </c>
      <c r="E172">
        <v>60.72</v>
      </c>
      <c r="F172">
        <v>15.03</v>
      </c>
      <c r="G172">
        <v>-22.8</v>
      </c>
      <c r="H172">
        <v>-21.7</v>
      </c>
      <c r="I172">
        <v>-20.9</v>
      </c>
      <c r="J172">
        <v>-20.2</v>
      </c>
      <c r="K172">
        <v>-19.899999999999999</v>
      </c>
      <c r="L172">
        <v>-19.2</v>
      </c>
      <c r="M172">
        <v>-19.100000000000001</v>
      </c>
      <c r="N172">
        <v>-18.899999999999999</v>
      </c>
      <c r="O172">
        <v>-18.2</v>
      </c>
      <c r="P172">
        <v>-18.2</v>
      </c>
      <c r="Q172">
        <v>-17.899999999999999</v>
      </c>
      <c r="R172">
        <v>-17.5</v>
      </c>
      <c r="S172">
        <v>1.2</v>
      </c>
      <c r="T172">
        <f t="shared" si="2"/>
        <v>1.2</v>
      </c>
      <c r="U172" s="180" t="s">
        <v>231</v>
      </c>
    </row>
    <row r="173" spans="2:22">
      <c r="B173" t="s">
        <v>384</v>
      </c>
      <c r="C173" t="s">
        <v>384</v>
      </c>
      <c r="D173">
        <v>102203</v>
      </c>
      <c r="E173">
        <v>57.77</v>
      </c>
      <c r="F173">
        <v>12.28</v>
      </c>
      <c r="G173">
        <v>-14</v>
      </c>
      <c r="H173">
        <v>-13.2</v>
      </c>
      <c r="I173">
        <v>-12.3</v>
      </c>
      <c r="J173">
        <v>-11.8</v>
      </c>
      <c r="K173">
        <v>-11.8</v>
      </c>
      <c r="L173">
        <v>-11.8</v>
      </c>
      <c r="M173">
        <v>-11.8</v>
      </c>
      <c r="N173">
        <v>-11.7</v>
      </c>
      <c r="O173">
        <v>-11.3</v>
      </c>
      <c r="P173">
        <v>-11.2</v>
      </c>
      <c r="Q173">
        <v>-10.9</v>
      </c>
      <c r="R173">
        <v>-10.5</v>
      </c>
      <c r="S173">
        <v>0.9</v>
      </c>
      <c r="T173">
        <f t="shared" si="2"/>
        <v>0.9</v>
      </c>
      <c r="U173" s="41" t="s">
        <v>384</v>
      </c>
    </row>
    <row r="174" spans="2:22">
      <c r="B174" t="s">
        <v>409</v>
      </c>
      <c r="C174" t="s">
        <v>409</v>
      </c>
      <c r="D174">
        <v>102213</v>
      </c>
      <c r="E174">
        <v>58.5</v>
      </c>
      <c r="F174">
        <v>13.15</v>
      </c>
      <c r="G174">
        <v>-15.2</v>
      </c>
      <c r="H174">
        <v>-14.8</v>
      </c>
      <c r="I174">
        <v>-13.6</v>
      </c>
      <c r="J174">
        <v>-13.3</v>
      </c>
      <c r="K174">
        <v>-13.1</v>
      </c>
      <c r="L174">
        <v>-12.8</v>
      </c>
      <c r="M174">
        <v>-12.8</v>
      </c>
      <c r="N174">
        <v>-12.5</v>
      </c>
      <c r="O174">
        <v>-12.2</v>
      </c>
      <c r="P174">
        <v>-11.7</v>
      </c>
      <c r="Q174">
        <v>-11.3</v>
      </c>
      <c r="R174">
        <v>-11</v>
      </c>
      <c r="S174">
        <v>1</v>
      </c>
      <c r="T174">
        <f t="shared" si="2"/>
        <v>1</v>
      </c>
      <c r="U174" s="41" t="s">
        <v>409</v>
      </c>
    </row>
    <row r="175" spans="2:22">
      <c r="B175" t="s">
        <v>410</v>
      </c>
      <c r="C175" t="s">
        <v>410</v>
      </c>
      <c r="D175">
        <v>102253</v>
      </c>
      <c r="E175">
        <v>58.13</v>
      </c>
      <c r="F175">
        <v>12.13</v>
      </c>
      <c r="G175">
        <v>-14.5</v>
      </c>
      <c r="H175">
        <v>-14</v>
      </c>
      <c r="I175">
        <v>-13.4</v>
      </c>
      <c r="J175">
        <v>-13.1</v>
      </c>
      <c r="K175">
        <v>-13</v>
      </c>
      <c r="L175">
        <v>-12.8</v>
      </c>
      <c r="M175">
        <v>-12.4</v>
      </c>
      <c r="N175">
        <v>-12.4</v>
      </c>
      <c r="O175">
        <v>-12.3</v>
      </c>
      <c r="P175">
        <v>-11.8</v>
      </c>
      <c r="Q175">
        <v>-11.6</v>
      </c>
      <c r="R175">
        <v>-11.4</v>
      </c>
      <c r="S175">
        <v>1</v>
      </c>
      <c r="T175">
        <f t="shared" si="2"/>
        <v>1</v>
      </c>
      <c r="U175" s="41" t="s">
        <v>410</v>
      </c>
    </row>
    <row r="176" spans="2:22">
      <c r="B176" t="s">
        <v>433</v>
      </c>
      <c r="C176" t="s">
        <v>433</v>
      </c>
      <c r="D176">
        <v>102515</v>
      </c>
      <c r="E176">
        <v>59.59</v>
      </c>
      <c r="F176">
        <v>15.23</v>
      </c>
      <c r="G176">
        <v>-18.7</v>
      </c>
      <c r="H176">
        <v>-17.8</v>
      </c>
      <c r="I176">
        <v>-17.2</v>
      </c>
      <c r="J176">
        <v>-16.600000000000001</v>
      </c>
      <c r="K176">
        <v>-16</v>
      </c>
      <c r="L176">
        <v>-15.8</v>
      </c>
      <c r="M176">
        <v>-15.6</v>
      </c>
      <c r="N176">
        <v>-15.4</v>
      </c>
      <c r="O176">
        <v>-15</v>
      </c>
      <c r="P176">
        <v>-14.6</v>
      </c>
      <c r="Q176">
        <v>-14.4</v>
      </c>
      <c r="R176">
        <v>-14.2</v>
      </c>
      <c r="S176">
        <v>1.1000000000000001</v>
      </c>
      <c r="T176">
        <f t="shared" si="2"/>
        <v>1.1000000000000001</v>
      </c>
      <c r="U176" s="41" t="s">
        <v>433</v>
      </c>
    </row>
    <row r="177" spans="1:22">
      <c r="B177" t="s">
        <v>250</v>
      </c>
      <c r="C177" t="s">
        <v>250</v>
      </c>
      <c r="D177">
        <v>102721</v>
      </c>
      <c r="E177">
        <v>61.83</v>
      </c>
      <c r="F177">
        <v>16.100000000000001</v>
      </c>
      <c r="G177">
        <v>-23.2</v>
      </c>
      <c r="H177">
        <v>-22.7</v>
      </c>
      <c r="I177">
        <v>-22.1</v>
      </c>
      <c r="J177">
        <v>-21.3</v>
      </c>
      <c r="K177">
        <v>-20.399999999999999</v>
      </c>
      <c r="L177">
        <v>-19.899999999999999</v>
      </c>
      <c r="M177">
        <v>-19.3</v>
      </c>
      <c r="N177">
        <v>-19</v>
      </c>
      <c r="O177">
        <v>-18.8</v>
      </c>
      <c r="P177">
        <v>-18.600000000000001</v>
      </c>
      <c r="Q177">
        <v>-18.100000000000001</v>
      </c>
      <c r="R177">
        <v>-17.8</v>
      </c>
      <c r="S177">
        <v>1.3</v>
      </c>
      <c r="T177">
        <f t="shared" si="2"/>
        <v>1.3</v>
      </c>
      <c r="U177" s="180" t="s">
        <v>250</v>
      </c>
    </row>
    <row r="178" spans="1:22">
      <c r="B178" t="s">
        <v>299</v>
      </c>
      <c r="C178" t="s">
        <v>299</v>
      </c>
      <c r="D178">
        <v>102135</v>
      </c>
      <c r="E178">
        <v>55.67</v>
      </c>
      <c r="F178">
        <v>13.08</v>
      </c>
      <c r="G178">
        <v>-10.7</v>
      </c>
      <c r="H178">
        <v>-9.6</v>
      </c>
      <c r="I178">
        <v>-9.1</v>
      </c>
      <c r="J178">
        <v>-8.9</v>
      </c>
      <c r="K178">
        <v>-8.8000000000000007</v>
      </c>
      <c r="L178">
        <v>-8.6999999999999993</v>
      </c>
      <c r="M178">
        <v>-8.5</v>
      </c>
      <c r="N178">
        <v>-8.3000000000000007</v>
      </c>
      <c r="O178">
        <v>-8</v>
      </c>
      <c r="P178">
        <v>-7.7</v>
      </c>
      <c r="Q178">
        <v>-7.6</v>
      </c>
      <c r="R178">
        <v>-7.5</v>
      </c>
      <c r="S178">
        <v>0.8</v>
      </c>
      <c r="T178">
        <f t="shared" si="2"/>
        <v>0.8</v>
      </c>
      <c r="U178" s="41" t="s">
        <v>299</v>
      </c>
      <c r="V178" s="41" t="s">
        <v>435</v>
      </c>
    </row>
    <row r="179" spans="1:22">
      <c r="B179" t="s">
        <v>232</v>
      </c>
      <c r="C179" t="s">
        <v>232</v>
      </c>
      <c r="D179">
        <v>102701</v>
      </c>
      <c r="E179">
        <v>60.14</v>
      </c>
      <c r="F179">
        <v>15.2</v>
      </c>
      <c r="G179">
        <v>-20.7</v>
      </c>
      <c r="H179">
        <v>-19.8</v>
      </c>
      <c r="I179">
        <v>-19.100000000000001</v>
      </c>
      <c r="J179">
        <v>-18.600000000000001</v>
      </c>
      <c r="K179">
        <v>-18</v>
      </c>
      <c r="L179">
        <v>-17.7</v>
      </c>
      <c r="M179">
        <v>-17.2</v>
      </c>
      <c r="N179">
        <v>-17</v>
      </c>
      <c r="O179">
        <v>-16.600000000000001</v>
      </c>
      <c r="P179">
        <v>-16.3</v>
      </c>
      <c r="Q179">
        <v>-16.100000000000001</v>
      </c>
      <c r="R179">
        <v>-15.9</v>
      </c>
      <c r="S179">
        <v>1.2</v>
      </c>
      <c r="T179">
        <f t="shared" si="2"/>
        <v>1.2</v>
      </c>
      <c r="U179" s="180" t="s">
        <v>232</v>
      </c>
    </row>
    <row r="180" spans="1:22">
      <c r="B180" t="s">
        <v>103</v>
      </c>
      <c r="C180" t="s">
        <v>103</v>
      </c>
      <c r="D180">
        <v>102005</v>
      </c>
      <c r="E180">
        <v>65.59</v>
      </c>
      <c r="F180">
        <v>22.17</v>
      </c>
      <c r="G180">
        <v>-27.5</v>
      </c>
      <c r="H180">
        <v>-26.6</v>
      </c>
      <c r="I180">
        <v>-25.7</v>
      </c>
      <c r="J180">
        <v>-25</v>
      </c>
      <c r="K180">
        <v>-24.7</v>
      </c>
      <c r="L180">
        <v>-24.4</v>
      </c>
      <c r="M180">
        <v>-23.9</v>
      </c>
      <c r="N180">
        <v>-23.5</v>
      </c>
      <c r="O180">
        <v>-23.1</v>
      </c>
      <c r="P180">
        <v>-22.8</v>
      </c>
      <c r="Q180">
        <v>-22.6</v>
      </c>
      <c r="R180">
        <v>-22.4</v>
      </c>
      <c r="S180">
        <v>1.5</v>
      </c>
      <c r="T180">
        <f t="shared" si="2"/>
        <v>1.5</v>
      </c>
      <c r="U180" s="41" t="s">
        <v>103</v>
      </c>
    </row>
    <row r="181" spans="1:22">
      <c r="B181" t="s">
        <v>117</v>
      </c>
      <c r="C181" t="s">
        <v>117</v>
      </c>
      <c r="D181">
        <v>102106</v>
      </c>
      <c r="E181">
        <v>55.71</v>
      </c>
      <c r="F181">
        <v>13.2</v>
      </c>
      <c r="G181">
        <v>-11.4</v>
      </c>
      <c r="H181">
        <v>-10.7</v>
      </c>
      <c r="I181">
        <v>-9.8000000000000007</v>
      </c>
      <c r="J181">
        <v>-9.8000000000000007</v>
      </c>
      <c r="K181">
        <v>-9.6</v>
      </c>
      <c r="L181">
        <v>-9.5</v>
      </c>
      <c r="M181">
        <v>-9.3000000000000007</v>
      </c>
      <c r="N181">
        <v>-9</v>
      </c>
      <c r="O181">
        <v>-8.6999999999999993</v>
      </c>
      <c r="P181">
        <v>-8.6</v>
      </c>
      <c r="Q181">
        <v>-8.1999999999999993</v>
      </c>
      <c r="R181">
        <v>-8.1</v>
      </c>
      <c r="S181">
        <v>0.9</v>
      </c>
      <c r="T181">
        <f t="shared" si="2"/>
        <v>0.9</v>
      </c>
      <c r="U181" s="41" t="s">
        <v>117</v>
      </c>
    </row>
    <row r="182" spans="1:22">
      <c r="B182" t="s">
        <v>104</v>
      </c>
      <c r="C182" t="s">
        <v>104</v>
      </c>
      <c r="D182">
        <v>102907</v>
      </c>
      <c r="E182">
        <v>64.59</v>
      </c>
      <c r="F182">
        <v>18.690000000000001</v>
      </c>
      <c r="G182">
        <v>-30.5</v>
      </c>
      <c r="H182">
        <v>-29.3</v>
      </c>
      <c r="I182">
        <v>-28.4</v>
      </c>
      <c r="J182">
        <v>-27.7</v>
      </c>
      <c r="K182">
        <v>-26.9</v>
      </c>
      <c r="L182">
        <v>-26.5</v>
      </c>
      <c r="M182">
        <v>-25.9</v>
      </c>
      <c r="N182">
        <v>-25.3</v>
      </c>
      <c r="O182">
        <v>-25.1</v>
      </c>
      <c r="P182">
        <v>-25.1</v>
      </c>
      <c r="Q182">
        <v>-24.9</v>
      </c>
      <c r="R182">
        <v>-24.8</v>
      </c>
      <c r="S182">
        <v>1.5</v>
      </c>
      <c r="T182">
        <f t="shared" si="2"/>
        <v>1.5</v>
      </c>
      <c r="U182" s="41" t="s">
        <v>104</v>
      </c>
    </row>
    <row r="183" spans="1:22">
      <c r="B183" t="s">
        <v>385</v>
      </c>
      <c r="C183" t="s">
        <v>385</v>
      </c>
      <c r="D183">
        <v>102209</v>
      </c>
      <c r="E183">
        <v>58.28</v>
      </c>
      <c r="F183">
        <v>11.44</v>
      </c>
      <c r="G183">
        <v>-12.9</v>
      </c>
      <c r="H183">
        <v>-12.1</v>
      </c>
      <c r="I183">
        <v>-11.5</v>
      </c>
      <c r="J183">
        <v>-11.1</v>
      </c>
      <c r="K183">
        <v>-10.7</v>
      </c>
      <c r="L183">
        <v>-10.6</v>
      </c>
      <c r="M183">
        <v>-10.4</v>
      </c>
      <c r="N183">
        <v>-10.3</v>
      </c>
      <c r="O183">
        <v>-10.199999999999999</v>
      </c>
      <c r="P183">
        <v>-9.8000000000000007</v>
      </c>
      <c r="Q183">
        <v>-9.6</v>
      </c>
      <c r="R183">
        <v>-9.5</v>
      </c>
      <c r="S183">
        <v>0.9</v>
      </c>
      <c r="T183">
        <f t="shared" si="2"/>
        <v>0.9</v>
      </c>
      <c r="U183" s="41" t="s">
        <v>385</v>
      </c>
    </row>
    <row r="184" spans="1:22">
      <c r="B184" t="s">
        <v>300</v>
      </c>
      <c r="C184" t="s">
        <v>300</v>
      </c>
      <c r="D184">
        <v>102105</v>
      </c>
      <c r="E184">
        <v>55.59</v>
      </c>
      <c r="F184">
        <v>13.02</v>
      </c>
      <c r="G184">
        <v>-10.199999999999999</v>
      </c>
      <c r="H184">
        <v>-9.1999999999999993</v>
      </c>
      <c r="I184">
        <v>-8.6999999999999993</v>
      </c>
      <c r="J184">
        <v>-8.4</v>
      </c>
      <c r="K184">
        <v>-8.4</v>
      </c>
      <c r="L184">
        <v>-8.4</v>
      </c>
      <c r="M184">
        <v>-8.1999999999999993</v>
      </c>
      <c r="N184">
        <v>-7.9</v>
      </c>
      <c r="O184">
        <v>-7.5</v>
      </c>
      <c r="P184">
        <v>-7.4</v>
      </c>
      <c r="Q184">
        <v>-7.2</v>
      </c>
      <c r="R184">
        <v>-7.1</v>
      </c>
      <c r="S184">
        <v>0.8</v>
      </c>
      <c r="T184">
        <f t="shared" si="2"/>
        <v>0.8</v>
      </c>
      <c r="U184" s="41" t="s">
        <v>300</v>
      </c>
    </row>
    <row r="185" spans="1:22">
      <c r="A185" t="s">
        <v>106</v>
      </c>
      <c r="B185" s="186" t="s">
        <v>238</v>
      </c>
      <c r="C185" t="s">
        <v>106</v>
      </c>
      <c r="D185">
        <v>102704</v>
      </c>
      <c r="E185">
        <v>60.68</v>
      </c>
      <c r="F185">
        <v>13.71</v>
      </c>
      <c r="G185">
        <v>-25.9</v>
      </c>
      <c r="H185">
        <v>-24.3</v>
      </c>
      <c r="I185">
        <v>-23.8</v>
      </c>
      <c r="J185">
        <v>-23.2</v>
      </c>
      <c r="K185">
        <v>-22.6</v>
      </c>
      <c r="L185">
        <v>-22</v>
      </c>
      <c r="M185">
        <v>-21.8</v>
      </c>
      <c r="N185">
        <v>-21.4</v>
      </c>
      <c r="O185">
        <v>-21</v>
      </c>
      <c r="P185">
        <v>-20.6</v>
      </c>
      <c r="Q185">
        <v>-20.6</v>
      </c>
      <c r="R185">
        <v>-20.6</v>
      </c>
      <c r="S185">
        <v>1.3</v>
      </c>
      <c r="T185">
        <f t="shared" si="2"/>
        <v>1.3</v>
      </c>
      <c r="U185" s="180" t="s">
        <v>238</v>
      </c>
    </row>
    <row r="186" spans="1:22">
      <c r="B186" t="s">
        <v>361</v>
      </c>
      <c r="C186" t="s">
        <v>361</v>
      </c>
      <c r="D186">
        <v>102915</v>
      </c>
      <c r="E186">
        <v>65.180000000000007</v>
      </c>
      <c r="F186">
        <v>18.75</v>
      </c>
      <c r="G186">
        <v>-28.8</v>
      </c>
      <c r="H186">
        <v>-27.2</v>
      </c>
      <c r="I186">
        <v>-26.4</v>
      </c>
      <c r="J186">
        <v>-25.9</v>
      </c>
      <c r="K186">
        <v>-25.5</v>
      </c>
      <c r="L186">
        <v>-24.6</v>
      </c>
      <c r="M186">
        <v>-24.2</v>
      </c>
      <c r="N186">
        <v>-23.7</v>
      </c>
      <c r="O186">
        <v>-23.3</v>
      </c>
      <c r="P186">
        <v>-23.3</v>
      </c>
      <c r="Q186">
        <v>-23.3</v>
      </c>
      <c r="R186">
        <v>-23.2</v>
      </c>
      <c r="S186">
        <v>1.6</v>
      </c>
      <c r="T186">
        <f t="shared" si="2"/>
        <v>1.6</v>
      </c>
      <c r="U186" s="41" t="s">
        <v>361</v>
      </c>
    </row>
    <row r="187" spans="1:22">
      <c r="B187" t="s">
        <v>411</v>
      </c>
      <c r="C187" t="s">
        <v>411</v>
      </c>
      <c r="D187">
        <v>102219</v>
      </c>
      <c r="E187">
        <v>58.7</v>
      </c>
      <c r="F187">
        <v>13.84</v>
      </c>
      <c r="G187">
        <v>-15.1</v>
      </c>
      <c r="H187">
        <v>-14.5</v>
      </c>
      <c r="I187">
        <v>-13.5</v>
      </c>
      <c r="J187">
        <v>-13.5</v>
      </c>
      <c r="K187">
        <v>-13.1</v>
      </c>
      <c r="L187">
        <v>-12.9</v>
      </c>
      <c r="M187">
        <v>-12.7</v>
      </c>
      <c r="N187">
        <v>-12.5</v>
      </c>
      <c r="O187">
        <v>-12.1</v>
      </c>
      <c r="P187">
        <v>-11.7</v>
      </c>
      <c r="Q187">
        <v>-11.3</v>
      </c>
      <c r="R187">
        <v>-10.9</v>
      </c>
      <c r="S187">
        <v>1</v>
      </c>
      <c r="T187">
        <f t="shared" si="2"/>
        <v>1</v>
      </c>
      <c r="U187" s="41" t="s">
        <v>411</v>
      </c>
    </row>
    <row r="188" spans="1:22">
      <c r="B188" t="s">
        <v>413</v>
      </c>
      <c r="C188" t="s">
        <v>413</v>
      </c>
      <c r="D188">
        <v>102220</v>
      </c>
      <c r="E188">
        <v>58.7</v>
      </c>
      <c r="F188">
        <v>12.46</v>
      </c>
      <c r="G188">
        <v>-15.6</v>
      </c>
      <c r="H188">
        <v>-14.9</v>
      </c>
      <c r="I188">
        <v>-14.5</v>
      </c>
      <c r="J188">
        <v>-14</v>
      </c>
      <c r="K188">
        <v>-13.6</v>
      </c>
      <c r="L188">
        <v>-13.4</v>
      </c>
      <c r="M188">
        <v>-13.2</v>
      </c>
      <c r="N188">
        <v>-13.2</v>
      </c>
      <c r="O188">
        <v>-12.9</v>
      </c>
      <c r="P188">
        <v>-12.5</v>
      </c>
      <c r="Q188">
        <v>-12.1</v>
      </c>
      <c r="R188">
        <v>-11.8</v>
      </c>
      <c r="S188">
        <v>1</v>
      </c>
      <c r="T188">
        <f t="shared" si="2"/>
        <v>1</v>
      </c>
      <c r="U188" s="41" t="s">
        <v>413</v>
      </c>
    </row>
    <row r="189" spans="1:22">
      <c r="B189" t="s">
        <v>233</v>
      </c>
      <c r="C189" t="s">
        <v>233</v>
      </c>
      <c r="D189">
        <v>102716</v>
      </c>
      <c r="E189">
        <v>61.01</v>
      </c>
      <c r="F189">
        <v>14.55</v>
      </c>
      <c r="G189">
        <v>-24.1</v>
      </c>
      <c r="H189">
        <v>-22.6</v>
      </c>
      <c r="I189">
        <v>-21.7</v>
      </c>
      <c r="J189">
        <v>-21.4</v>
      </c>
      <c r="K189">
        <v>-20.8</v>
      </c>
      <c r="L189">
        <v>-20</v>
      </c>
      <c r="M189">
        <v>-19.899999999999999</v>
      </c>
      <c r="N189">
        <v>-19.600000000000001</v>
      </c>
      <c r="O189">
        <v>-19.100000000000001</v>
      </c>
      <c r="P189">
        <v>-18.8</v>
      </c>
      <c r="Q189">
        <v>-18.8</v>
      </c>
      <c r="R189">
        <v>-18.399999999999999</v>
      </c>
      <c r="S189">
        <v>1.2</v>
      </c>
      <c r="T189">
        <f t="shared" si="2"/>
        <v>1.2</v>
      </c>
      <c r="U189" s="180" t="s">
        <v>233</v>
      </c>
    </row>
    <row r="190" spans="1:22">
      <c r="B190" t="s">
        <v>267</v>
      </c>
      <c r="C190" t="s">
        <v>267</v>
      </c>
      <c r="D190">
        <v>102342</v>
      </c>
      <c r="E190">
        <v>57.92</v>
      </c>
      <c r="F190">
        <v>13.88</v>
      </c>
      <c r="G190">
        <v>-15.9</v>
      </c>
      <c r="H190">
        <v>-15.4</v>
      </c>
      <c r="I190">
        <v>-14.7</v>
      </c>
      <c r="J190">
        <v>-14.1</v>
      </c>
      <c r="K190">
        <v>-13.9</v>
      </c>
      <c r="L190">
        <v>-13.6</v>
      </c>
      <c r="M190">
        <v>-13.6</v>
      </c>
      <c r="N190">
        <v>-13.4</v>
      </c>
      <c r="O190">
        <v>-13.1</v>
      </c>
      <c r="P190">
        <v>-12.7</v>
      </c>
      <c r="Q190">
        <v>-12.3</v>
      </c>
      <c r="R190">
        <v>-11.9</v>
      </c>
      <c r="S190">
        <v>1</v>
      </c>
      <c r="T190">
        <f t="shared" si="2"/>
        <v>1</v>
      </c>
      <c r="U190" s="41" t="s">
        <v>267</v>
      </c>
    </row>
    <row r="191" spans="1:22">
      <c r="B191" t="s">
        <v>414</v>
      </c>
      <c r="C191" t="s">
        <v>414</v>
      </c>
      <c r="D191">
        <v>102234</v>
      </c>
      <c r="E191">
        <v>58.47</v>
      </c>
      <c r="F191">
        <v>11.69</v>
      </c>
      <c r="G191">
        <v>-14.3</v>
      </c>
      <c r="H191">
        <v>-13.7</v>
      </c>
      <c r="I191">
        <v>-13.2</v>
      </c>
      <c r="J191">
        <v>-12.9</v>
      </c>
      <c r="K191">
        <v>-12.5</v>
      </c>
      <c r="L191">
        <v>-12.4</v>
      </c>
      <c r="M191">
        <v>-12.4</v>
      </c>
      <c r="N191">
        <v>-12</v>
      </c>
      <c r="O191">
        <v>-11.9</v>
      </c>
      <c r="P191">
        <v>-11.6</v>
      </c>
      <c r="Q191">
        <v>-11.4</v>
      </c>
      <c r="R191">
        <v>-11</v>
      </c>
      <c r="S191">
        <v>1</v>
      </c>
      <c r="T191">
        <f t="shared" si="2"/>
        <v>1</v>
      </c>
      <c r="U191" s="41" t="s">
        <v>414</v>
      </c>
    </row>
    <row r="192" spans="1:22">
      <c r="B192" t="s">
        <v>347</v>
      </c>
      <c r="C192" t="s">
        <v>347</v>
      </c>
      <c r="D192">
        <v>102527</v>
      </c>
      <c r="E192">
        <v>59.83</v>
      </c>
      <c r="F192">
        <v>13.53</v>
      </c>
      <c r="G192">
        <v>-21.3</v>
      </c>
      <c r="H192">
        <v>-20.399999999999999</v>
      </c>
      <c r="I192">
        <v>-19.899999999999999</v>
      </c>
      <c r="J192">
        <v>-19.3</v>
      </c>
      <c r="K192">
        <v>-18.899999999999999</v>
      </c>
      <c r="L192">
        <v>-18.399999999999999</v>
      </c>
      <c r="M192">
        <v>-18.399999999999999</v>
      </c>
      <c r="N192">
        <v>-18.2</v>
      </c>
      <c r="O192">
        <v>-17.899999999999999</v>
      </c>
      <c r="P192">
        <v>-17.600000000000001</v>
      </c>
      <c r="Q192">
        <v>-17.399999999999999</v>
      </c>
      <c r="R192">
        <v>-17.100000000000001</v>
      </c>
      <c r="S192">
        <v>1.1000000000000001</v>
      </c>
      <c r="T192">
        <f t="shared" si="2"/>
        <v>1.1000000000000001</v>
      </c>
      <c r="U192" s="41" t="s">
        <v>347</v>
      </c>
    </row>
    <row r="193" spans="2:21">
      <c r="B193" t="s">
        <v>386</v>
      </c>
      <c r="C193" t="s">
        <v>386</v>
      </c>
      <c r="D193">
        <v>102242</v>
      </c>
      <c r="E193">
        <v>57.65</v>
      </c>
      <c r="F193">
        <v>12.02</v>
      </c>
      <c r="G193">
        <v>-13.1</v>
      </c>
      <c r="H193">
        <v>-12.5</v>
      </c>
      <c r="I193">
        <v>-11.9</v>
      </c>
      <c r="J193">
        <v>-11.5</v>
      </c>
      <c r="K193">
        <v>-11.5</v>
      </c>
      <c r="L193">
        <v>-11.5</v>
      </c>
      <c r="M193">
        <v>-11.2</v>
      </c>
      <c r="N193">
        <v>-11.1</v>
      </c>
      <c r="O193">
        <v>-11</v>
      </c>
      <c r="P193">
        <v>-10.7</v>
      </c>
      <c r="Q193">
        <v>-10.5</v>
      </c>
      <c r="R193">
        <v>-10.3</v>
      </c>
      <c r="S193">
        <v>0.9</v>
      </c>
      <c r="T193">
        <f t="shared" si="2"/>
        <v>0.9</v>
      </c>
      <c r="U193" s="41" t="s">
        <v>386</v>
      </c>
    </row>
    <row r="194" spans="2:21">
      <c r="B194" t="s">
        <v>277</v>
      </c>
      <c r="C194" t="s">
        <v>277</v>
      </c>
      <c r="D194">
        <v>102333</v>
      </c>
      <c r="E194">
        <v>57.04</v>
      </c>
      <c r="F194">
        <v>16.440000000000001</v>
      </c>
      <c r="G194">
        <v>-13.1</v>
      </c>
      <c r="H194">
        <v>-12.3</v>
      </c>
      <c r="I194">
        <v>-11.7</v>
      </c>
      <c r="J194">
        <v>-11.3</v>
      </c>
      <c r="K194">
        <v>-11.1</v>
      </c>
      <c r="L194">
        <v>-11</v>
      </c>
      <c r="M194">
        <v>-10.8</v>
      </c>
      <c r="N194">
        <v>-10.5</v>
      </c>
      <c r="O194">
        <v>-10.199999999999999</v>
      </c>
      <c r="P194">
        <v>-10</v>
      </c>
      <c r="Q194">
        <v>-9.6</v>
      </c>
      <c r="R194">
        <v>-9.4</v>
      </c>
      <c r="S194">
        <v>0.9</v>
      </c>
      <c r="T194">
        <f t="shared" si="2"/>
        <v>0.9</v>
      </c>
      <c r="U194" s="41" t="s">
        <v>277</v>
      </c>
    </row>
    <row r="195" spans="2:21">
      <c r="B195" t="s">
        <v>278</v>
      </c>
      <c r="C195" t="s">
        <v>278</v>
      </c>
      <c r="D195">
        <v>102339</v>
      </c>
      <c r="E195">
        <v>56.52</v>
      </c>
      <c r="F195">
        <v>16.38</v>
      </c>
      <c r="G195">
        <v>-11.7</v>
      </c>
      <c r="H195">
        <v>-11.2</v>
      </c>
      <c r="I195">
        <v>-10.6</v>
      </c>
      <c r="J195">
        <v>-10.3</v>
      </c>
      <c r="K195">
        <v>-10</v>
      </c>
      <c r="L195">
        <v>-9.8000000000000007</v>
      </c>
      <c r="M195">
        <v>-9.6</v>
      </c>
      <c r="N195">
        <v>-9.4</v>
      </c>
      <c r="O195">
        <v>-9.1</v>
      </c>
      <c r="P195">
        <v>-8.9</v>
      </c>
      <c r="Q195">
        <v>-8.6999999999999993</v>
      </c>
      <c r="R195">
        <v>-8.5</v>
      </c>
      <c r="S195">
        <v>0.9</v>
      </c>
      <c r="T195">
        <f t="shared" si="2"/>
        <v>0.9</v>
      </c>
      <c r="U195" s="41" t="s">
        <v>278</v>
      </c>
    </row>
    <row r="196" spans="2:21">
      <c r="B196" t="s">
        <v>434</v>
      </c>
      <c r="C196" t="s">
        <v>434</v>
      </c>
      <c r="D196">
        <v>102533</v>
      </c>
      <c r="E196">
        <v>59.52</v>
      </c>
      <c r="F196">
        <v>15.03</v>
      </c>
      <c r="G196">
        <v>-18.899999999999999</v>
      </c>
      <c r="H196">
        <v>-17.8</v>
      </c>
      <c r="I196">
        <v>-17.100000000000001</v>
      </c>
      <c r="J196">
        <v>-16.600000000000001</v>
      </c>
      <c r="K196">
        <v>-16.100000000000001</v>
      </c>
      <c r="L196">
        <v>-15.8</v>
      </c>
      <c r="M196">
        <v>-15.8</v>
      </c>
      <c r="N196">
        <v>-15.5</v>
      </c>
      <c r="O196">
        <v>-15.1</v>
      </c>
      <c r="P196">
        <v>-14.6</v>
      </c>
      <c r="Q196">
        <v>-14.4</v>
      </c>
      <c r="R196">
        <v>-14.1</v>
      </c>
      <c r="S196">
        <v>1.1000000000000001</v>
      </c>
      <c r="T196">
        <f t="shared" ref="T196:T261" si="3">VALUE(VLOOKUP(B196,FgeoVlookup,2,FALSE))</f>
        <v>1.1000000000000001</v>
      </c>
      <c r="U196" s="41" t="s">
        <v>434</v>
      </c>
    </row>
    <row r="197" spans="2:21">
      <c r="B197" t="s">
        <v>378</v>
      </c>
      <c r="C197" t="s">
        <v>378</v>
      </c>
      <c r="D197">
        <v>102632</v>
      </c>
      <c r="E197">
        <v>60.35</v>
      </c>
      <c r="F197">
        <v>15.55</v>
      </c>
      <c r="G197">
        <v>-21.2</v>
      </c>
      <c r="H197">
        <v>-20.100000000000001</v>
      </c>
      <c r="I197">
        <v>-19.399999999999999</v>
      </c>
      <c r="J197">
        <v>-18.899999999999999</v>
      </c>
      <c r="K197">
        <v>-18.600000000000001</v>
      </c>
      <c r="L197">
        <v>-18.2</v>
      </c>
      <c r="M197">
        <v>-17.7</v>
      </c>
      <c r="N197">
        <v>-17.399999999999999</v>
      </c>
      <c r="O197">
        <v>-17.2</v>
      </c>
      <c r="P197">
        <v>-16.899999999999999</v>
      </c>
      <c r="Q197">
        <v>-16.7</v>
      </c>
      <c r="R197">
        <v>-16.5</v>
      </c>
      <c r="S197">
        <v>1.1000000000000001</v>
      </c>
      <c r="T197">
        <f t="shared" si="3"/>
        <v>1.1000000000000001</v>
      </c>
      <c r="U197" s="41" t="s">
        <v>378</v>
      </c>
    </row>
    <row r="198" spans="2:21">
      <c r="B198" t="s">
        <v>248</v>
      </c>
      <c r="C198" t="s">
        <v>248</v>
      </c>
      <c r="D198">
        <v>102728</v>
      </c>
      <c r="E198">
        <v>61.98</v>
      </c>
      <c r="F198">
        <v>17.07</v>
      </c>
      <c r="G198">
        <v>-21</v>
      </c>
      <c r="H198">
        <v>-20.5</v>
      </c>
      <c r="I198">
        <v>-19.8</v>
      </c>
      <c r="J198">
        <v>-19.100000000000001</v>
      </c>
      <c r="K198">
        <v>-18.600000000000001</v>
      </c>
      <c r="L198">
        <v>-17.8</v>
      </c>
      <c r="M198">
        <v>-17.3</v>
      </c>
      <c r="N198">
        <v>-17</v>
      </c>
      <c r="O198">
        <v>-17</v>
      </c>
      <c r="P198">
        <v>-16.5</v>
      </c>
      <c r="Q198">
        <v>-16</v>
      </c>
      <c r="R198">
        <v>-15.8</v>
      </c>
      <c r="S198">
        <v>1.2</v>
      </c>
      <c r="T198">
        <f t="shared" si="3"/>
        <v>1.2</v>
      </c>
      <c r="U198" s="180" t="s">
        <v>248</v>
      </c>
    </row>
    <row r="199" spans="2:21">
      <c r="B199" t="s">
        <v>504</v>
      </c>
      <c r="C199" t="s">
        <v>504</v>
      </c>
      <c r="D199">
        <v>102916</v>
      </c>
      <c r="E199">
        <v>63.57</v>
      </c>
      <c r="F199">
        <v>19.510000000000002</v>
      </c>
      <c r="G199">
        <v>-22.7</v>
      </c>
      <c r="H199">
        <v>-22.2</v>
      </c>
      <c r="I199">
        <v>-21.3</v>
      </c>
      <c r="J199">
        <v>-20.8</v>
      </c>
      <c r="K199">
        <v>-20.5</v>
      </c>
      <c r="L199">
        <v>-19.8</v>
      </c>
      <c r="M199">
        <v>-19.8</v>
      </c>
      <c r="N199">
        <v>-19.5</v>
      </c>
      <c r="O199">
        <v>-19.3</v>
      </c>
      <c r="P199">
        <v>-18.8</v>
      </c>
      <c r="Q199">
        <v>-18.399999999999999</v>
      </c>
      <c r="R199">
        <v>-18.2</v>
      </c>
      <c r="S199">
        <v>1.3</v>
      </c>
      <c r="T199">
        <f t="shared" si="3"/>
        <v>1.3</v>
      </c>
      <c r="U199" s="41" t="s">
        <v>504</v>
      </c>
    </row>
    <row r="200" spans="2:21">
      <c r="B200" t="s">
        <v>362</v>
      </c>
      <c r="C200" t="s">
        <v>362</v>
      </c>
      <c r="D200">
        <v>102914</v>
      </c>
      <c r="E200">
        <v>64.930000000000007</v>
      </c>
      <c r="F200">
        <v>19.38</v>
      </c>
      <c r="G200">
        <v>-27.5</v>
      </c>
      <c r="H200">
        <v>-26</v>
      </c>
      <c r="I200">
        <v>-25.5</v>
      </c>
      <c r="J200">
        <v>-25.2</v>
      </c>
      <c r="K200">
        <v>-24.5</v>
      </c>
      <c r="L200">
        <v>-23.8</v>
      </c>
      <c r="M200">
        <v>-23.3</v>
      </c>
      <c r="N200">
        <v>-22.6</v>
      </c>
      <c r="O200">
        <v>-22.2</v>
      </c>
      <c r="P200">
        <v>-22.2</v>
      </c>
      <c r="Q200">
        <v>-22.1</v>
      </c>
      <c r="R200">
        <v>-21.9</v>
      </c>
      <c r="S200">
        <v>1.6</v>
      </c>
      <c r="T200">
        <f t="shared" si="3"/>
        <v>1.6</v>
      </c>
      <c r="U200" s="41" t="s">
        <v>362</v>
      </c>
    </row>
    <row r="201" spans="2:21">
      <c r="B201" t="s">
        <v>279</v>
      </c>
      <c r="C201" t="s">
        <v>279</v>
      </c>
      <c r="D201">
        <v>102309</v>
      </c>
      <c r="E201">
        <v>56.75</v>
      </c>
      <c r="F201">
        <v>15.91</v>
      </c>
      <c r="G201">
        <v>-14</v>
      </c>
      <c r="H201">
        <v>-13</v>
      </c>
      <c r="I201">
        <v>-12.6</v>
      </c>
      <c r="J201">
        <v>-12.2</v>
      </c>
      <c r="K201">
        <v>-11.7</v>
      </c>
      <c r="L201">
        <v>-11.7</v>
      </c>
      <c r="M201">
        <v>-11.4</v>
      </c>
      <c r="N201">
        <v>-11.2</v>
      </c>
      <c r="O201">
        <v>-11</v>
      </c>
      <c r="P201">
        <v>-10.6</v>
      </c>
      <c r="Q201">
        <v>-10.3</v>
      </c>
      <c r="R201">
        <v>-10.199999999999999</v>
      </c>
      <c r="S201">
        <v>0.9</v>
      </c>
      <c r="T201">
        <f t="shared" si="3"/>
        <v>0.9</v>
      </c>
      <c r="U201" s="41" t="s">
        <v>279</v>
      </c>
    </row>
    <row r="202" spans="2:21">
      <c r="B202" t="s">
        <v>273</v>
      </c>
      <c r="C202" t="s">
        <v>273</v>
      </c>
      <c r="D202">
        <v>102321</v>
      </c>
      <c r="E202">
        <v>57.65</v>
      </c>
      <c r="F202">
        <v>14.7</v>
      </c>
      <c r="G202">
        <v>-16.2</v>
      </c>
      <c r="H202">
        <v>-15.9</v>
      </c>
      <c r="I202">
        <v>-15</v>
      </c>
      <c r="J202">
        <v>-14.5</v>
      </c>
      <c r="K202">
        <v>-14.2</v>
      </c>
      <c r="L202">
        <v>-13.9</v>
      </c>
      <c r="M202">
        <v>-13.9</v>
      </c>
      <c r="N202">
        <v>-13.7</v>
      </c>
      <c r="O202">
        <v>-13.4</v>
      </c>
      <c r="P202">
        <v>-12.9</v>
      </c>
      <c r="Q202">
        <v>-12.5</v>
      </c>
      <c r="R202">
        <v>-12.2</v>
      </c>
      <c r="S202">
        <v>1.1000000000000001</v>
      </c>
      <c r="T202">
        <f t="shared" si="3"/>
        <v>1.1000000000000001</v>
      </c>
      <c r="U202" s="41" t="s">
        <v>273</v>
      </c>
    </row>
    <row r="203" spans="2:21">
      <c r="B203" t="s">
        <v>243</v>
      </c>
      <c r="C203" t="s">
        <v>243</v>
      </c>
      <c r="D203">
        <v>102712</v>
      </c>
      <c r="E203">
        <v>60.9</v>
      </c>
      <c r="F203">
        <v>16.72</v>
      </c>
      <c r="G203">
        <v>-19.7</v>
      </c>
      <c r="H203">
        <v>-19</v>
      </c>
      <c r="I203">
        <v>-18.399999999999999</v>
      </c>
      <c r="J203">
        <v>-17.3</v>
      </c>
      <c r="K203">
        <v>-17.3</v>
      </c>
      <c r="L203">
        <v>-16.600000000000001</v>
      </c>
      <c r="M203">
        <v>-16.399999999999999</v>
      </c>
      <c r="N203">
        <v>-16.3</v>
      </c>
      <c r="O203">
        <v>-16.3</v>
      </c>
      <c r="P203">
        <v>-16</v>
      </c>
      <c r="Q203">
        <v>-15.6</v>
      </c>
      <c r="R203">
        <v>-15.6</v>
      </c>
      <c r="S203">
        <v>1.1000000000000001</v>
      </c>
      <c r="T203">
        <f t="shared" si="3"/>
        <v>1.1000000000000001</v>
      </c>
      <c r="U203" s="180" t="s">
        <v>243</v>
      </c>
    </row>
    <row r="204" spans="2:21">
      <c r="B204" t="s">
        <v>234</v>
      </c>
      <c r="C204" t="s">
        <v>234</v>
      </c>
      <c r="D204">
        <v>102727</v>
      </c>
      <c r="E204">
        <v>61.12</v>
      </c>
      <c r="F204">
        <v>14.61</v>
      </c>
      <c r="G204">
        <v>-23.4</v>
      </c>
      <c r="H204">
        <v>-22.4</v>
      </c>
      <c r="I204">
        <v>-21.4</v>
      </c>
      <c r="J204">
        <v>-20.9</v>
      </c>
      <c r="K204">
        <v>-20.399999999999999</v>
      </c>
      <c r="L204">
        <v>-19.8</v>
      </c>
      <c r="M204">
        <v>-19.399999999999999</v>
      </c>
      <c r="N204">
        <v>-19.2</v>
      </c>
      <c r="O204">
        <v>-18.7</v>
      </c>
      <c r="P204">
        <v>-18.3</v>
      </c>
      <c r="Q204">
        <v>-18.3</v>
      </c>
      <c r="R204">
        <v>-18.100000000000001</v>
      </c>
      <c r="S204">
        <v>1.2</v>
      </c>
      <c r="T204">
        <f t="shared" si="3"/>
        <v>1.2</v>
      </c>
      <c r="U204" s="180" t="s">
        <v>234</v>
      </c>
    </row>
    <row r="205" spans="2:21">
      <c r="B205" t="s">
        <v>387</v>
      </c>
      <c r="C205" t="s">
        <v>387</v>
      </c>
      <c r="D205">
        <v>102240</v>
      </c>
      <c r="E205">
        <v>58.24</v>
      </c>
      <c r="F205">
        <v>11.66</v>
      </c>
      <c r="G205">
        <v>-13.5</v>
      </c>
      <c r="H205">
        <v>-12.7</v>
      </c>
      <c r="I205">
        <v>-12.2</v>
      </c>
      <c r="J205">
        <v>-11.8</v>
      </c>
      <c r="K205">
        <v>-11.5</v>
      </c>
      <c r="L205">
        <v>-11.4</v>
      </c>
      <c r="M205">
        <v>-11.2</v>
      </c>
      <c r="N205">
        <v>-11.1</v>
      </c>
      <c r="O205">
        <v>-11</v>
      </c>
      <c r="P205">
        <v>-10.6</v>
      </c>
      <c r="Q205">
        <v>-10.4</v>
      </c>
      <c r="R205">
        <v>-10.3</v>
      </c>
      <c r="S205">
        <v>0.9</v>
      </c>
      <c r="T205">
        <f t="shared" si="3"/>
        <v>0.9</v>
      </c>
      <c r="U205" s="41" t="s">
        <v>387</v>
      </c>
    </row>
    <row r="206" spans="2:21">
      <c r="B206" t="s">
        <v>326</v>
      </c>
      <c r="C206" t="s">
        <v>326</v>
      </c>
      <c r="D206">
        <v>102117</v>
      </c>
      <c r="E206">
        <v>56.38</v>
      </c>
      <c r="F206">
        <v>14</v>
      </c>
      <c r="G206">
        <v>-14.3</v>
      </c>
      <c r="H206">
        <v>-13</v>
      </c>
      <c r="I206">
        <v>-12.7</v>
      </c>
      <c r="J206">
        <v>-12.1</v>
      </c>
      <c r="K206">
        <v>-11.9</v>
      </c>
      <c r="L206">
        <v>-11.7</v>
      </c>
      <c r="M206">
        <v>-11.7</v>
      </c>
      <c r="N206">
        <v>-11.5</v>
      </c>
      <c r="O206">
        <v>-11.4</v>
      </c>
      <c r="P206">
        <v>-11.1</v>
      </c>
      <c r="Q206">
        <v>-10.8</v>
      </c>
      <c r="R206">
        <v>-10.7</v>
      </c>
      <c r="S206">
        <v>1</v>
      </c>
      <c r="T206">
        <f t="shared" si="3"/>
        <v>1</v>
      </c>
      <c r="U206" s="41" t="s">
        <v>326</v>
      </c>
    </row>
    <row r="207" spans="2:21">
      <c r="B207" t="s">
        <v>280</v>
      </c>
      <c r="C207" t="s">
        <v>280</v>
      </c>
      <c r="D207">
        <v>102325</v>
      </c>
      <c r="E207">
        <v>57.27</v>
      </c>
      <c r="F207">
        <v>16.45</v>
      </c>
      <c r="G207">
        <v>-13.2</v>
      </c>
      <c r="H207">
        <v>-12.5</v>
      </c>
      <c r="I207">
        <v>-12</v>
      </c>
      <c r="J207">
        <v>-11.6</v>
      </c>
      <c r="K207">
        <v>-11.2</v>
      </c>
      <c r="L207">
        <v>-11</v>
      </c>
      <c r="M207">
        <v>-10.9</v>
      </c>
      <c r="N207">
        <v>-10.9</v>
      </c>
      <c r="O207">
        <v>-10.6</v>
      </c>
      <c r="P207">
        <v>-10.3</v>
      </c>
      <c r="Q207">
        <v>-9.9</v>
      </c>
      <c r="R207">
        <v>-9.6</v>
      </c>
      <c r="S207">
        <v>0.9</v>
      </c>
      <c r="T207">
        <f t="shared" si="3"/>
        <v>0.9</v>
      </c>
      <c r="U207" s="41" t="s">
        <v>280</v>
      </c>
    </row>
    <row r="208" spans="2:21">
      <c r="B208" t="s">
        <v>294</v>
      </c>
      <c r="C208" t="s">
        <v>294</v>
      </c>
      <c r="D208">
        <v>102013</v>
      </c>
      <c r="E208">
        <v>67.209999999999994</v>
      </c>
      <c r="F208">
        <v>23.37</v>
      </c>
      <c r="G208">
        <v>-30.8</v>
      </c>
      <c r="H208">
        <v>-30</v>
      </c>
      <c r="I208">
        <v>-28.9</v>
      </c>
      <c r="J208">
        <v>-28.1</v>
      </c>
      <c r="K208">
        <v>-27.6</v>
      </c>
      <c r="L208">
        <v>-27.4</v>
      </c>
      <c r="M208">
        <v>-26.7</v>
      </c>
      <c r="N208">
        <v>-26.4</v>
      </c>
      <c r="O208">
        <v>-26.1</v>
      </c>
      <c r="P208">
        <v>-25.5</v>
      </c>
      <c r="Q208">
        <v>-25.3</v>
      </c>
      <c r="R208">
        <v>-25.3</v>
      </c>
      <c r="S208">
        <v>1.7</v>
      </c>
      <c r="T208">
        <f t="shared" si="3"/>
        <v>1.7</v>
      </c>
      <c r="U208" s="41" t="s">
        <v>294</v>
      </c>
    </row>
    <row r="209" spans="1:21">
      <c r="B209" t="s">
        <v>388</v>
      </c>
      <c r="C209" t="s">
        <v>388</v>
      </c>
      <c r="D209">
        <v>102238</v>
      </c>
      <c r="E209">
        <v>57.74</v>
      </c>
      <c r="F209">
        <v>12.11</v>
      </c>
      <c r="G209">
        <v>-13.1</v>
      </c>
      <c r="H209">
        <v>-12.3</v>
      </c>
      <c r="I209">
        <v>-11.7</v>
      </c>
      <c r="J209">
        <v>-11.2</v>
      </c>
      <c r="K209">
        <v>-11.2</v>
      </c>
      <c r="L209">
        <v>-11.2</v>
      </c>
      <c r="M209">
        <v>-11</v>
      </c>
      <c r="N209">
        <v>-10.9</v>
      </c>
      <c r="O209">
        <v>-10.7</v>
      </c>
      <c r="P209">
        <v>-10.5</v>
      </c>
      <c r="Q209">
        <v>-10.199999999999999</v>
      </c>
      <c r="R209">
        <v>-10</v>
      </c>
      <c r="S209">
        <v>0.9</v>
      </c>
      <c r="T209">
        <f t="shared" si="3"/>
        <v>0.9</v>
      </c>
      <c r="U209" s="41" t="s">
        <v>388</v>
      </c>
    </row>
    <row r="210" spans="1:21">
      <c r="B210" t="s">
        <v>314</v>
      </c>
      <c r="C210" t="s">
        <v>314</v>
      </c>
      <c r="D210">
        <v>102139</v>
      </c>
      <c r="E210">
        <v>56.14</v>
      </c>
      <c r="F210">
        <v>13.4</v>
      </c>
      <c r="G210">
        <v>-13.2</v>
      </c>
      <c r="H210">
        <v>-12</v>
      </c>
      <c r="I210">
        <v>-11.4</v>
      </c>
      <c r="J210">
        <v>-11.3</v>
      </c>
      <c r="K210">
        <v>-11.3</v>
      </c>
      <c r="L210">
        <v>-11.2</v>
      </c>
      <c r="M210">
        <v>-11.1</v>
      </c>
      <c r="N210">
        <v>-10.6</v>
      </c>
      <c r="O210">
        <v>-10.5</v>
      </c>
      <c r="P210">
        <v>-10.199999999999999</v>
      </c>
      <c r="Q210">
        <v>-9.9</v>
      </c>
      <c r="R210">
        <v>-9.6999999999999993</v>
      </c>
      <c r="S210">
        <v>0.9</v>
      </c>
      <c r="T210">
        <f t="shared" si="3"/>
        <v>0.9</v>
      </c>
      <c r="U210" s="41" t="s">
        <v>314</v>
      </c>
    </row>
    <row r="211" spans="1:21">
      <c r="B211" t="s">
        <v>286</v>
      </c>
      <c r="C211" t="s">
        <v>286</v>
      </c>
      <c r="D211">
        <v>102004</v>
      </c>
      <c r="E211">
        <v>65.3</v>
      </c>
      <c r="F211">
        <v>21.49</v>
      </c>
      <c r="G211">
        <v>-26.4</v>
      </c>
      <c r="H211">
        <v>-25.1</v>
      </c>
      <c r="I211">
        <v>-24.8</v>
      </c>
      <c r="J211">
        <v>-24.2</v>
      </c>
      <c r="K211">
        <v>-23.7</v>
      </c>
      <c r="L211">
        <v>-23.1</v>
      </c>
      <c r="M211">
        <v>-22.6</v>
      </c>
      <c r="N211">
        <v>-22.3</v>
      </c>
      <c r="O211">
        <v>-21.9</v>
      </c>
      <c r="P211">
        <v>-21.7</v>
      </c>
      <c r="Q211">
        <v>-21.5</v>
      </c>
      <c r="R211">
        <v>-21.3</v>
      </c>
      <c r="S211">
        <v>1.4</v>
      </c>
      <c r="T211">
        <f t="shared" si="3"/>
        <v>1.4</v>
      </c>
      <c r="U211" s="41" t="s">
        <v>286</v>
      </c>
    </row>
    <row r="212" spans="1:21">
      <c r="B212" t="s">
        <v>355</v>
      </c>
      <c r="C212" t="s">
        <v>355</v>
      </c>
      <c r="D212">
        <v>102913</v>
      </c>
      <c r="E212">
        <v>64.19</v>
      </c>
      <c r="F212">
        <v>20.85</v>
      </c>
      <c r="G212">
        <v>-23.7</v>
      </c>
      <c r="H212">
        <v>-23.3</v>
      </c>
      <c r="I212">
        <v>-22.6</v>
      </c>
      <c r="J212">
        <v>-22.5</v>
      </c>
      <c r="K212">
        <v>-22</v>
      </c>
      <c r="L212">
        <v>-21.5</v>
      </c>
      <c r="M212">
        <v>-21.2</v>
      </c>
      <c r="N212">
        <v>-20.8</v>
      </c>
      <c r="O212">
        <v>-20.399999999999999</v>
      </c>
      <c r="P212">
        <v>-20</v>
      </c>
      <c r="Q212">
        <v>-19.8</v>
      </c>
      <c r="R212">
        <v>-19.399999999999999</v>
      </c>
      <c r="S212">
        <v>1.4</v>
      </c>
      <c r="T212">
        <f t="shared" si="3"/>
        <v>1.4</v>
      </c>
      <c r="U212" s="41" t="s">
        <v>355</v>
      </c>
    </row>
    <row r="213" spans="1:21">
      <c r="B213" t="s">
        <v>235</v>
      </c>
      <c r="C213" t="s">
        <v>235</v>
      </c>
      <c r="D213">
        <v>102723</v>
      </c>
      <c r="E213">
        <v>60.88</v>
      </c>
      <c r="F213">
        <v>15.11</v>
      </c>
      <c r="G213">
        <v>-23.4</v>
      </c>
      <c r="H213">
        <v>-22.2</v>
      </c>
      <c r="I213">
        <v>-21.2</v>
      </c>
      <c r="J213">
        <v>-20.8</v>
      </c>
      <c r="K213">
        <v>-20.3</v>
      </c>
      <c r="L213">
        <v>-19.7</v>
      </c>
      <c r="M213">
        <v>-19.5</v>
      </c>
      <c r="N213">
        <v>-19.2</v>
      </c>
      <c r="O213">
        <v>-18.600000000000001</v>
      </c>
      <c r="P213">
        <v>-18.5</v>
      </c>
      <c r="Q213">
        <v>-18.3</v>
      </c>
      <c r="R213">
        <v>-17.899999999999999</v>
      </c>
      <c r="S213">
        <v>1.2</v>
      </c>
      <c r="T213">
        <f t="shared" si="3"/>
        <v>1.2</v>
      </c>
      <c r="U213" s="180" t="s">
        <v>235</v>
      </c>
    </row>
    <row r="214" spans="1:21">
      <c r="B214" t="s">
        <v>379</v>
      </c>
      <c r="C214" t="s">
        <v>379</v>
      </c>
      <c r="D214">
        <v>102604</v>
      </c>
      <c r="E214">
        <v>59.92</v>
      </c>
      <c r="F214">
        <v>16.59</v>
      </c>
      <c r="G214">
        <v>-19.100000000000001</v>
      </c>
      <c r="H214">
        <v>-18.7</v>
      </c>
      <c r="I214">
        <v>-18</v>
      </c>
      <c r="J214">
        <v>-17.3</v>
      </c>
      <c r="K214">
        <v>-17.100000000000001</v>
      </c>
      <c r="L214">
        <v>-16.5</v>
      </c>
      <c r="M214">
        <v>-16.100000000000001</v>
      </c>
      <c r="N214">
        <v>-16.100000000000001</v>
      </c>
      <c r="O214">
        <v>-16.100000000000001</v>
      </c>
      <c r="P214">
        <v>-16.100000000000001</v>
      </c>
      <c r="Q214">
        <v>-15.9</v>
      </c>
      <c r="R214">
        <v>-15.6</v>
      </c>
      <c r="S214">
        <v>1.1000000000000001</v>
      </c>
      <c r="T214">
        <f t="shared" si="3"/>
        <v>1.1000000000000001</v>
      </c>
      <c r="U214" s="41" t="s">
        <v>379</v>
      </c>
    </row>
    <row r="215" spans="1:21">
      <c r="B215" t="s">
        <v>244</v>
      </c>
      <c r="C215" t="s">
        <v>244</v>
      </c>
      <c r="D215">
        <v>102710</v>
      </c>
      <c r="E215">
        <v>60.62</v>
      </c>
      <c r="F215">
        <v>16.78</v>
      </c>
      <c r="G215">
        <v>-19.2</v>
      </c>
      <c r="H215">
        <v>-18.399999999999999</v>
      </c>
      <c r="I215">
        <v>-17.7</v>
      </c>
      <c r="J215">
        <v>-16.7</v>
      </c>
      <c r="K215">
        <v>-16.7</v>
      </c>
      <c r="L215">
        <v>-16.399999999999999</v>
      </c>
      <c r="M215">
        <v>-16.2</v>
      </c>
      <c r="N215">
        <v>-16</v>
      </c>
      <c r="O215">
        <v>-16</v>
      </c>
      <c r="P215">
        <v>-15.8</v>
      </c>
      <c r="Q215">
        <v>-15.5</v>
      </c>
      <c r="R215">
        <v>-15.3</v>
      </c>
      <c r="S215">
        <v>1.1000000000000001</v>
      </c>
      <c r="T215">
        <f t="shared" si="3"/>
        <v>1.1000000000000001</v>
      </c>
      <c r="U215" s="180" t="s">
        <v>244</v>
      </c>
    </row>
    <row r="216" spans="1:21">
      <c r="B216" t="s">
        <v>315</v>
      </c>
      <c r="C216" t="s">
        <v>315</v>
      </c>
      <c r="D216">
        <v>102103</v>
      </c>
      <c r="E216">
        <v>55.56</v>
      </c>
      <c r="F216">
        <v>14.35</v>
      </c>
      <c r="G216">
        <v>-9.9</v>
      </c>
      <c r="H216">
        <v>-9.5</v>
      </c>
      <c r="I216">
        <v>-9.1999999999999993</v>
      </c>
      <c r="J216">
        <v>-8.9</v>
      </c>
      <c r="K216">
        <v>-8.6</v>
      </c>
      <c r="L216">
        <v>-8.4</v>
      </c>
      <c r="M216">
        <v>-8.1</v>
      </c>
      <c r="N216">
        <v>-7.9</v>
      </c>
      <c r="O216">
        <v>-7.9</v>
      </c>
      <c r="P216">
        <v>-7.6</v>
      </c>
      <c r="Q216">
        <v>-7.4</v>
      </c>
      <c r="R216">
        <v>-7.1</v>
      </c>
      <c r="S216">
        <v>0.9</v>
      </c>
      <c r="T216">
        <f t="shared" si="3"/>
        <v>0.9</v>
      </c>
      <c r="U216" s="41" t="s">
        <v>315</v>
      </c>
    </row>
    <row r="217" spans="1:21">
      <c r="B217" t="s">
        <v>316</v>
      </c>
      <c r="C217" t="s">
        <v>316</v>
      </c>
      <c r="D217">
        <v>102104</v>
      </c>
      <c r="E217">
        <v>55.63</v>
      </c>
      <c r="F217">
        <v>13.71</v>
      </c>
      <c r="G217">
        <v>-11.5</v>
      </c>
      <c r="H217">
        <v>-10.5</v>
      </c>
      <c r="I217">
        <v>-10</v>
      </c>
      <c r="J217">
        <v>-9.8000000000000007</v>
      </c>
      <c r="K217">
        <v>-9.8000000000000007</v>
      </c>
      <c r="L217">
        <v>-9.5</v>
      </c>
      <c r="M217">
        <v>-9.3000000000000007</v>
      </c>
      <c r="N217">
        <v>-9</v>
      </c>
      <c r="O217">
        <v>-8.8000000000000007</v>
      </c>
      <c r="P217">
        <v>-8.6</v>
      </c>
      <c r="Q217">
        <v>-8.4</v>
      </c>
      <c r="R217">
        <v>-8.1999999999999993</v>
      </c>
      <c r="S217">
        <v>0.9</v>
      </c>
      <c r="T217">
        <f t="shared" si="3"/>
        <v>0.9</v>
      </c>
      <c r="U217" s="41" t="s">
        <v>316</v>
      </c>
    </row>
    <row r="218" spans="1:21">
      <c r="B218" t="s">
        <v>415</v>
      </c>
      <c r="C218" t="s">
        <v>415</v>
      </c>
      <c r="D218">
        <v>102214</v>
      </c>
      <c r="E218">
        <v>58.38</v>
      </c>
      <c r="F218">
        <v>13.44</v>
      </c>
      <c r="G218">
        <v>-15.7</v>
      </c>
      <c r="H218">
        <v>-15.1</v>
      </c>
      <c r="I218">
        <v>-14.2</v>
      </c>
      <c r="J218">
        <v>-13.8</v>
      </c>
      <c r="K218">
        <v>-13.6</v>
      </c>
      <c r="L218">
        <v>-13.4</v>
      </c>
      <c r="M218">
        <v>-13.4</v>
      </c>
      <c r="N218">
        <v>-13.2</v>
      </c>
      <c r="O218">
        <v>-12.8</v>
      </c>
      <c r="P218">
        <v>-12.5</v>
      </c>
      <c r="Q218">
        <v>-11.9</v>
      </c>
      <c r="R218">
        <v>-11.6</v>
      </c>
      <c r="S218">
        <v>1</v>
      </c>
      <c r="T218">
        <f t="shared" si="3"/>
        <v>1</v>
      </c>
      <c r="U218" s="41" t="s">
        <v>415</v>
      </c>
    </row>
    <row r="219" spans="1:21">
      <c r="B219" t="s">
        <v>356</v>
      </c>
      <c r="C219" t="s">
        <v>356</v>
      </c>
      <c r="D219">
        <v>102911</v>
      </c>
      <c r="E219">
        <v>64.75</v>
      </c>
      <c r="F219">
        <v>20.96</v>
      </c>
      <c r="G219">
        <v>-24.6</v>
      </c>
      <c r="H219">
        <v>-23.9</v>
      </c>
      <c r="I219">
        <v>-23.6</v>
      </c>
      <c r="J219">
        <v>-23</v>
      </c>
      <c r="K219">
        <v>-22.7</v>
      </c>
      <c r="L219">
        <v>-22.1</v>
      </c>
      <c r="M219">
        <v>-21.5</v>
      </c>
      <c r="N219">
        <v>-21.3</v>
      </c>
      <c r="O219">
        <v>-20.9</v>
      </c>
      <c r="P219">
        <v>-20.6</v>
      </c>
      <c r="Q219">
        <v>-20.2</v>
      </c>
      <c r="R219">
        <v>-20</v>
      </c>
      <c r="S219">
        <v>1.4</v>
      </c>
      <c r="T219">
        <f t="shared" si="3"/>
        <v>1.4</v>
      </c>
      <c r="U219" s="41" t="s">
        <v>356</v>
      </c>
    </row>
    <row r="220" spans="1:21">
      <c r="B220" t="s">
        <v>380</v>
      </c>
      <c r="C220" t="s">
        <v>380</v>
      </c>
      <c r="D220">
        <v>102635</v>
      </c>
      <c r="E220">
        <v>59.83</v>
      </c>
      <c r="F220">
        <v>15.69</v>
      </c>
      <c r="G220">
        <v>-19.100000000000001</v>
      </c>
      <c r="H220">
        <v>-18.5</v>
      </c>
      <c r="I220">
        <v>-17.7</v>
      </c>
      <c r="J220">
        <v>-17.3</v>
      </c>
      <c r="K220">
        <v>-16.8</v>
      </c>
      <c r="L220">
        <v>-16.2</v>
      </c>
      <c r="M220">
        <v>-16.100000000000001</v>
      </c>
      <c r="N220">
        <v>-16</v>
      </c>
      <c r="O220">
        <v>-15.6</v>
      </c>
      <c r="P220">
        <v>-15.3</v>
      </c>
      <c r="Q220">
        <v>-15.3</v>
      </c>
      <c r="R220">
        <v>-15</v>
      </c>
      <c r="S220">
        <v>1.1000000000000001</v>
      </c>
      <c r="T220">
        <f t="shared" si="3"/>
        <v>1.1000000000000001</v>
      </c>
      <c r="U220" s="41" t="s">
        <v>380</v>
      </c>
    </row>
    <row r="221" spans="1:21">
      <c r="B221" t="s">
        <v>317</v>
      </c>
      <c r="C221" t="s">
        <v>317</v>
      </c>
      <c r="D221">
        <v>102137</v>
      </c>
      <c r="E221">
        <v>55.48</v>
      </c>
      <c r="F221">
        <v>13.5</v>
      </c>
      <c r="G221">
        <v>-11.2</v>
      </c>
      <c r="H221">
        <v>-10.199999999999999</v>
      </c>
      <c r="I221">
        <v>-9.8000000000000007</v>
      </c>
      <c r="J221">
        <v>-9.6</v>
      </c>
      <c r="K221">
        <v>-9.5</v>
      </c>
      <c r="L221">
        <v>-9.1999999999999993</v>
      </c>
      <c r="M221">
        <v>-9</v>
      </c>
      <c r="N221">
        <v>-8.6999999999999993</v>
      </c>
      <c r="O221">
        <v>-8.6</v>
      </c>
      <c r="P221">
        <v>-8.4</v>
      </c>
      <c r="Q221">
        <v>-8.1999999999999993</v>
      </c>
      <c r="R221">
        <v>-8</v>
      </c>
      <c r="S221">
        <v>0.9</v>
      </c>
      <c r="T221">
        <f t="shared" si="3"/>
        <v>0.9</v>
      </c>
      <c r="U221" s="41" t="s">
        <v>317</v>
      </c>
    </row>
    <row r="222" spans="1:21">
      <c r="A222" t="s">
        <v>583</v>
      </c>
      <c r="B222" s="187" t="s">
        <v>336</v>
      </c>
      <c r="C222" t="s">
        <v>583</v>
      </c>
      <c r="D222">
        <v>102630</v>
      </c>
      <c r="E222">
        <v>60.63</v>
      </c>
      <c r="F222">
        <v>17.41</v>
      </c>
      <c r="G222">
        <v>-16.7</v>
      </c>
      <c r="H222">
        <v>-16.2</v>
      </c>
      <c r="I222">
        <v>-15.8</v>
      </c>
      <c r="J222">
        <v>-14.9</v>
      </c>
      <c r="K222">
        <v>-14.5</v>
      </c>
      <c r="L222">
        <v>-14.4</v>
      </c>
      <c r="M222">
        <v>-14.2</v>
      </c>
      <c r="N222">
        <v>-14</v>
      </c>
      <c r="O222">
        <v>-13.6</v>
      </c>
      <c r="P222">
        <v>-13.6</v>
      </c>
      <c r="Q222">
        <v>-13.5</v>
      </c>
      <c r="R222">
        <v>-13.3</v>
      </c>
      <c r="S222">
        <v>1.1000000000000001</v>
      </c>
      <c r="T222">
        <f t="shared" si="3"/>
        <v>1.1000000000000001</v>
      </c>
      <c r="U222" s="41" t="s">
        <v>336</v>
      </c>
    </row>
    <row r="223" spans="1:21">
      <c r="B223" t="s">
        <v>416</v>
      </c>
      <c r="C223" t="s">
        <v>416</v>
      </c>
      <c r="D223">
        <v>102216</v>
      </c>
      <c r="E223">
        <v>58.4</v>
      </c>
      <c r="F223">
        <v>13.86</v>
      </c>
      <c r="G223">
        <v>-15.5</v>
      </c>
      <c r="H223">
        <v>-14.5</v>
      </c>
      <c r="I223">
        <v>-13.8</v>
      </c>
      <c r="J223">
        <v>-13.3</v>
      </c>
      <c r="K223">
        <v>-13.3</v>
      </c>
      <c r="L223">
        <v>-12.7</v>
      </c>
      <c r="M223">
        <v>-12.7</v>
      </c>
      <c r="N223">
        <v>-12.7</v>
      </c>
      <c r="O223">
        <v>-12.3</v>
      </c>
      <c r="P223">
        <v>-12.1</v>
      </c>
      <c r="Q223">
        <v>-11.5</v>
      </c>
      <c r="R223">
        <v>-11.1</v>
      </c>
      <c r="S223">
        <v>1</v>
      </c>
      <c r="T223">
        <f t="shared" si="3"/>
        <v>1</v>
      </c>
      <c r="U223" s="41" t="s">
        <v>416</v>
      </c>
    </row>
    <row r="224" spans="1:21">
      <c r="B224" t="s">
        <v>236</v>
      </c>
      <c r="C224" t="s">
        <v>236</v>
      </c>
      <c r="D224">
        <v>102726</v>
      </c>
      <c r="E224">
        <v>60.14</v>
      </c>
      <c r="F224">
        <v>15.41</v>
      </c>
      <c r="G224">
        <v>-19.8</v>
      </c>
      <c r="H224">
        <v>-18.8</v>
      </c>
      <c r="I224">
        <v>-18.2</v>
      </c>
      <c r="J224">
        <v>-17.7</v>
      </c>
      <c r="K224">
        <v>-17.100000000000001</v>
      </c>
      <c r="L224">
        <v>-16.7</v>
      </c>
      <c r="M224">
        <v>-16.3</v>
      </c>
      <c r="N224">
        <v>-16.100000000000001</v>
      </c>
      <c r="O224">
        <v>-15.8</v>
      </c>
      <c r="P224">
        <v>-15.6</v>
      </c>
      <c r="Q224">
        <v>-15.3</v>
      </c>
      <c r="R224">
        <v>-15.2</v>
      </c>
      <c r="S224">
        <v>1.2</v>
      </c>
      <c r="T224">
        <f t="shared" si="3"/>
        <v>1.2</v>
      </c>
      <c r="U224" s="180" t="s">
        <v>236</v>
      </c>
    </row>
    <row r="225" spans="1:22">
      <c r="B225" t="s">
        <v>370</v>
      </c>
      <c r="C225" t="s">
        <v>370</v>
      </c>
      <c r="D225">
        <v>102812</v>
      </c>
      <c r="E225">
        <v>63.17</v>
      </c>
      <c r="F225">
        <v>17.28</v>
      </c>
      <c r="G225">
        <v>-26.3</v>
      </c>
      <c r="H225">
        <v>-24.9</v>
      </c>
      <c r="I225">
        <v>-24.4</v>
      </c>
      <c r="J225">
        <v>-23.7</v>
      </c>
      <c r="K225">
        <v>-22.6</v>
      </c>
      <c r="L225">
        <v>-22</v>
      </c>
      <c r="M225">
        <v>-21.5</v>
      </c>
      <c r="N225">
        <v>-21.3</v>
      </c>
      <c r="O225">
        <v>-20.9</v>
      </c>
      <c r="P225">
        <v>-20.7</v>
      </c>
      <c r="Q225">
        <v>-20.399999999999999</v>
      </c>
      <c r="R225">
        <v>-20.399999999999999</v>
      </c>
      <c r="S225">
        <v>1.4</v>
      </c>
      <c r="T225">
        <f t="shared" si="3"/>
        <v>1.4</v>
      </c>
      <c r="U225" s="41" t="s">
        <v>370</v>
      </c>
    </row>
    <row r="226" spans="1:22">
      <c r="B226" t="s">
        <v>363</v>
      </c>
      <c r="C226" t="s">
        <v>363</v>
      </c>
      <c r="D226">
        <v>102910</v>
      </c>
      <c r="E226">
        <v>65.540000000000006</v>
      </c>
      <c r="F226">
        <v>17.53</v>
      </c>
      <c r="G226">
        <v>-31.7</v>
      </c>
      <c r="H226">
        <v>-30.6</v>
      </c>
      <c r="I226">
        <v>-29.6</v>
      </c>
      <c r="J226">
        <v>-28.6</v>
      </c>
      <c r="K226">
        <v>-27.8</v>
      </c>
      <c r="L226">
        <v>-27.4</v>
      </c>
      <c r="M226">
        <v>-26.9</v>
      </c>
      <c r="N226">
        <v>-26.5</v>
      </c>
      <c r="O226">
        <v>-26.2</v>
      </c>
      <c r="P226">
        <v>-26.1</v>
      </c>
      <c r="Q226">
        <v>-26</v>
      </c>
      <c r="R226">
        <v>-25.9</v>
      </c>
      <c r="S226">
        <v>1.7</v>
      </c>
      <c r="T226">
        <f t="shared" si="3"/>
        <v>1.7</v>
      </c>
      <c r="U226" s="41" t="s">
        <v>363</v>
      </c>
    </row>
    <row r="227" spans="1:22">
      <c r="B227" t="s">
        <v>389</v>
      </c>
      <c r="C227" t="s">
        <v>389</v>
      </c>
      <c r="D227">
        <v>102235</v>
      </c>
      <c r="E227">
        <v>58.36</v>
      </c>
      <c r="F227">
        <v>11.26</v>
      </c>
      <c r="G227">
        <v>-12.4</v>
      </c>
      <c r="H227">
        <v>-11.6</v>
      </c>
      <c r="I227">
        <v>-11.2</v>
      </c>
      <c r="J227">
        <v>-10.8</v>
      </c>
      <c r="K227">
        <v>-10.3</v>
      </c>
      <c r="L227">
        <v>-10.1</v>
      </c>
      <c r="M227">
        <v>-9.8000000000000007</v>
      </c>
      <c r="N227">
        <v>-9.6</v>
      </c>
      <c r="O227">
        <v>-9.6</v>
      </c>
      <c r="P227">
        <v>-9.4</v>
      </c>
      <c r="Q227">
        <v>-9.1</v>
      </c>
      <c r="R227">
        <v>-8.9</v>
      </c>
      <c r="S227">
        <v>0.9</v>
      </c>
      <c r="T227">
        <f t="shared" si="3"/>
        <v>0.9</v>
      </c>
      <c r="U227" s="41" t="s">
        <v>389</v>
      </c>
    </row>
    <row r="228" spans="1:22">
      <c r="B228" t="s">
        <v>318</v>
      </c>
      <c r="C228" t="s">
        <v>318</v>
      </c>
      <c r="D228">
        <v>102136</v>
      </c>
      <c r="E228">
        <v>55.65</v>
      </c>
      <c r="F228">
        <v>13.22</v>
      </c>
      <c r="G228">
        <v>-10.9</v>
      </c>
      <c r="H228">
        <v>-10.199999999999999</v>
      </c>
      <c r="I228">
        <v>-9.4</v>
      </c>
      <c r="J228">
        <v>-9.3000000000000007</v>
      </c>
      <c r="K228">
        <v>-9.1999999999999993</v>
      </c>
      <c r="L228">
        <v>-8.9</v>
      </c>
      <c r="M228">
        <v>-8.8000000000000007</v>
      </c>
      <c r="N228">
        <v>-8.5</v>
      </c>
      <c r="O228">
        <v>-8.1999999999999993</v>
      </c>
      <c r="P228">
        <v>-8</v>
      </c>
      <c r="Q228">
        <v>-7.9</v>
      </c>
      <c r="R228">
        <v>-7.7</v>
      </c>
      <c r="S228">
        <v>0.9</v>
      </c>
      <c r="T228">
        <f t="shared" si="3"/>
        <v>0.9</v>
      </c>
      <c r="U228" s="41" t="s">
        <v>318</v>
      </c>
    </row>
    <row r="229" spans="1:22">
      <c r="B229" t="s">
        <v>390</v>
      </c>
      <c r="C229" t="s">
        <v>390</v>
      </c>
      <c r="D229">
        <v>102208</v>
      </c>
      <c r="E229">
        <v>58.07</v>
      </c>
      <c r="F229">
        <v>11.83</v>
      </c>
      <c r="G229">
        <v>-13</v>
      </c>
      <c r="H229">
        <v>-12.6</v>
      </c>
      <c r="I229">
        <v>-11.9</v>
      </c>
      <c r="J229">
        <v>-11.7</v>
      </c>
      <c r="K229">
        <v>-11.5</v>
      </c>
      <c r="L229">
        <v>-11.3</v>
      </c>
      <c r="M229">
        <v>-10.9</v>
      </c>
      <c r="N229">
        <v>-10.9</v>
      </c>
      <c r="O229">
        <v>-10.9</v>
      </c>
      <c r="P229">
        <v>-10.4</v>
      </c>
      <c r="Q229">
        <v>-10.3</v>
      </c>
      <c r="R229">
        <v>-10.1</v>
      </c>
      <c r="S229">
        <v>0.9</v>
      </c>
      <c r="T229">
        <f t="shared" si="3"/>
        <v>0.9</v>
      </c>
      <c r="U229" s="41" t="s">
        <v>390</v>
      </c>
    </row>
    <row r="230" spans="1:22">
      <c r="B230" t="s">
        <v>348</v>
      </c>
      <c r="C230" t="s">
        <v>348</v>
      </c>
      <c r="D230">
        <v>102534</v>
      </c>
      <c r="E230">
        <v>59.53</v>
      </c>
      <c r="F230">
        <v>14.27</v>
      </c>
      <c r="G230">
        <v>-20.100000000000001</v>
      </c>
      <c r="H230">
        <v>-19.2</v>
      </c>
      <c r="I230">
        <v>-18.3</v>
      </c>
      <c r="J230">
        <v>-17.7</v>
      </c>
      <c r="K230">
        <v>-17.3</v>
      </c>
      <c r="L230">
        <v>-17</v>
      </c>
      <c r="M230">
        <v>-17</v>
      </c>
      <c r="N230">
        <v>-17</v>
      </c>
      <c r="O230">
        <v>-16.600000000000001</v>
      </c>
      <c r="P230">
        <v>-16.3</v>
      </c>
      <c r="Q230">
        <v>-16</v>
      </c>
      <c r="R230">
        <v>-15.8</v>
      </c>
      <c r="S230">
        <v>1.1000000000000001</v>
      </c>
      <c r="T230">
        <f t="shared" si="3"/>
        <v>1.1000000000000001</v>
      </c>
      <c r="U230" s="41" t="s">
        <v>348</v>
      </c>
    </row>
    <row r="231" spans="1:22">
      <c r="B231" t="s">
        <v>364</v>
      </c>
      <c r="C231" t="s">
        <v>364</v>
      </c>
      <c r="D231">
        <v>102909</v>
      </c>
      <c r="E231">
        <v>65.099999999999994</v>
      </c>
      <c r="F231">
        <v>17.11</v>
      </c>
      <c r="G231">
        <v>-28.8</v>
      </c>
      <c r="H231">
        <v>-27.8</v>
      </c>
      <c r="I231">
        <v>-26.8</v>
      </c>
      <c r="J231">
        <v>-26.3</v>
      </c>
      <c r="K231">
        <v>-25.5</v>
      </c>
      <c r="L231">
        <v>-25.2</v>
      </c>
      <c r="M231">
        <v>-24.9</v>
      </c>
      <c r="N231">
        <v>-24.4</v>
      </c>
      <c r="O231">
        <v>-24.1</v>
      </c>
      <c r="P231">
        <v>-24</v>
      </c>
      <c r="Q231">
        <v>-24</v>
      </c>
      <c r="R231">
        <v>-23.8</v>
      </c>
      <c r="S231">
        <v>1.8</v>
      </c>
      <c r="T231">
        <f t="shared" si="3"/>
        <v>1.8</v>
      </c>
      <c r="U231" s="41" t="s">
        <v>364</v>
      </c>
    </row>
    <row r="232" spans="1:22">
      <c r="B232" t="s">
        <v>391</v>
      </c>
      <c r="C232" t="s">
        <v>391</v>
      </c>
      <c r="D232">
        <v>102221</v>
      </c>
      <c r="E232">
        <v>58.94</v>
      </c>
      <c r="F232">
        <v>11.19</v>
      </c>
      <c r="G232">
        <v>-14.3</v>
      </c>
      <c r="H232">
        <v>-13.9</v>
      </c>
      <c r="I232">
        <v>-13.5</v>
      </c>
      <c r="J232">
        <v>-13</v>
      </c>
      <c r="K232">
        <v>-12.6</v>
      </c>
      <c r="L232">
        <v>-12.4</v>
      </c>
      <c r="M232">
        <v>-12.1</v>
      </c>
      <c r="N232">
        <v>-11.8</v>
      </c>
      <c r="O232">
        <v>-11.5</v>
      </c>
      <c r="P232">
        <v>-11.3</v>
      </c>
      <c r="Q232">
        <v>-11.1</v>
      </c>
      <c r="R232">
        <v>-11</v>
      </c>
      <c r="S232">
        <v>0.9</v>
      </c>
      <c r="T232">
        <f t="shared" si="3"/>
        <v>0.9</v>
      </c>
      <c r="U232" s="41" t="s">
        <v>391</v>
      </c>
    </row>
    <row r="233" spans="1:22">
      <c r="B233" t="s">
        <v>261</v>
      </c>
      <c r="C233" t="s">
        <v>261</v>
      </c>
      <c r="D233">
        <v>102814</v>
      </c>
      <c r="E233">
        <v>63.85</v>
      </c>
      <c r="F233">
        <v>15.56</v>
      </c>
      <c r="G233">
        <v>-25</v>
      </c>
      <c r="H233">
        <v>-24.5</v>
      </c>
      <c r="I233">
        <v>-23.5</v>
      </c>
      <c r="J233">
        <v>-22.9</v>
      </c>
      <c r="K233">
        <v>-22.2</v>
      </c>
      <c r="L233">
        <v>-21.5</v>
      </c>
      <c r="M233">
        <v>-21</v>
      </c>
      <c r="N233">
        <v>-20.5</v>
      </c>
      <c r="O233">
        <v>-20.2</v>
      </c>
      <c r="P233">
        <v>-20.100000000000001</v>
      </c>
      <c r="Q233">
        <v>-20</v>
      </c>
      <c r="R233">
        <v>-20</v>
      </c>
      <c r="S233">
        <v>1.5</v>
      </c>
      <c r="T233">
        <f t="shared" si="3"/>
        <v>1.5</v>
      </c>
      <c r="U233" s="41" t="s">
        <v>261</v>
      </c>
    </row>
    <row r="234" spans="1:22">
      <c r="B234" t="s">
        <v>367</v>
      </c>
      <c r="C234" t="s">
        <v>367</v>
      </c>
      <c r="D234">
        <v>102805</v>
      </c>
      <c r="E234">
        <v>62.39</v>
      </c>
      <c r="F234">
        <v>17.309999999999999</v>
      </c>
      <c r="G234">
        <v>-22.9</v>
      </c>
      <c r="H234">
        <v>-22</v>
      </c>
      <c r="I234">
        <v>-21.5</v>
      </c>
      <c r="J234">
        <v>-20.8</v>
      </c>
      <c r="K234">
        <v>-20.100000000000001</v>
      </c>
      <c r="L234">
        <v>-19.5</v>
      </c>
      <c r="M234">
        <v>-18.8</v>
      </c>
      <c r="N234">
        <v>-18.5</v>
      </c>
      <c r="O234">
        <v>-18.2</v>
      </c>
      <c r="P234">
        <v>-18</v>
      </c>
      <c r="Q234">
        <v>-17.399999999999999</v>
      </c>
      <c r="R234">
        <v>-17.100000000000001</v>
      </c>
      <c r="S234">
        <v>1.3</v>
      </c>
      <c r="T234">
        <f t="shared" si="3"/>
        <v>1.3</v>
      </c>
      <c r="U234" s="41" t="s">
        <v>367</v>
      </c>
    </row>
    <row r="235" spans="1:22">
      <c r="B235" t="s">
        <v>349</v>
      </c>
      <c r="C235" t="s">
        <v>349</v>
      </c>
      <c r="D235">
        <v>102504</v>
      </c>
      <c r="E235">
        <v>59.84</v>
      </c>
      <c r="F235">
        <v>13.15</v>
      </c>
      <c r="G235">
        <v>-21.8</v>
      </c>
      <c r="H235">
        <v>-20.8</v>
      </c>
      <c r="I235">
        <v>-20.100000000000001</v>
      </c>
      <c r="J235">
        <v>-19.600000000000001</v>
      </c>
      <c r="K235">
        <v>-19.2</v>
      </c>
      <c r="L235">
        <v>-18.7</v>
      </c>
      <c r="M235">
        <v>-18.600000000000001</v>
      </c>
      <c r="N235">
        <v>-18.600000000000001</v>
      </c>
      <c r="O235">
        <v>-18.2</v>
      </c>
      <c r="P235">
        <v>-18</v>
      </c>
      <c r="Q235">
        <v>-17.7</v>
      </c>
      <c r="R235">
        <v>-17.2</v>
      </c>
      <c r="S235">
        <v>1.1000000000000001</v>
      </c>
      <c r="T235">
        <f t="shared" si="3"/>
        <v>1.1000000000000001</v>
      </c>
      <c r="U235" s="41" t="s">
        <v>349</v>
      </c>
    </row>
    <row r="236" spans="1:22">
      <c r="B236" t="s">
        <v>375</v>
      </c>
      <c r="C236" t="s">
        <v>375</v>
      </c>
      <c r="D236">
        <v>102636</v>
      </c>
      <c r="E236">
        <v>59.71</v>
      </c>
      <c r="F236">
        <v>16.22</v>
      </c>
      <c r="G236">
        <v>-19</v>
      </c>
      <c r="H236">
        <v>-18.399999999999999</v>
      </c>
      <c r="I236">
        <v>-17.8</v>
      </c>
      <c r="J236">
        <v>-17</v>
      </c>
      <c r="K236">
        <v>-16.600000000000001</v>
      </c>
      <c r="L236">
        <v>-16.3</v>
      </c>
      <c r="M236">
        <v>-15.9</v>
      </c>
      <c r="N236">
        <v>-15.8</v>
      </c>
      <c r="O236">
        <v>-15.6</v>
      </c>
      <c r="P236">
        <v>-15.6</v>
      </c>
      <c r="Q236">
        <v>-15.2</v>
      </c>
      <c r="R236">
        <v>-14.9</v>
      </c>
      <c r="S236">
        <v>1</v>
      </c>
      <c r="T236">
        <f t="shared" si="3"/>
        <v>1</v>
      </c>
      <c r="U236" s="41" t="s">
        <v>375</v>
      </c>
    </row>
    <row r="237" spans="1:22">
      <c r="B237" t="s">
        <v>319</v>
      </c>
      <c r="C237" t="s">
        <v>319</v>
      </c>
      <c r="D237">
        <v>102126</v>
      </c>
      <c r="E237">
        <v>55.91</v>
      </c>
      <c r="F237">
        <v>13.11</v>
      </c>
      <c r="G237">
        <v>-11.6</v>
      </c>
      <c r="H237">
        <v>-10.7</v>
      </c>
      <c r="I237">
        <v>-10.1</v>
      </c>
      <c r="J237">
        <v>-10.1</v>
      </c>
      <c r="K237">
        <v>-10</v>
      </c>
      <c r="L237">
        <v>-9.6999999999999993</v>
      </c>
      <c r="M237">
        <v>-9.6999999999999993</v>
      </c>
      <c r="N237">
        <v>-9.3000000000000007</v>
      </c>
      <c r="O237">
        <v>-9.1999999999999993</v>
      </c>
      <c r="P237">
        <v>-8.9</v>
      </c>
      <c r="Q237">
        <v>-8.5</v>
      </c>
      <c r="R237">
        <v>-8.4</v>
      </c>
      <c r="S237">
        <v>0.9</v>
      </c>
      <c r="T237">
        <f t="shared" si="3"/>
        <v>0.9</v>
      </c>
      <c r="U237" s="41" t="s">
        <v>319</v>
      </c>
    </row>
    <row r="238" spans="1:22">
      <c r="B238" t="s">
        <v>320</v>
      </c>
      <c r="C238" t="s">
        <v>320</v>
      </c>
      <c r="D238">
        <v>102122</v>
      </c>
      <c r="E238">
        <v>55.51</v>
      </c>
      <c r="F238">
        <v>13.24</v>
      </c>
      <c r="G238">
        <v>-11.2</v>
      </c>
      <c r="H238">
        <v>-10.199999999999999</v>
      </c>
      <c r="I238">
        <v>-9.8000000000000007</v>
      </c>
      <c r="J238">
        <v>-9.4</v>
      </c>
      <c r="K238">
        <v>-9.4</v>
      </c>
      <c r="L238">
        <v>-9.1</v>
      </c>
      <c r="M238">
        <v>-9</v>
      </c>
      <c r="N238">
        <v>-8.6</v>
      </c>
      <c r="O238">
        <v>-8.4</v>
      </c>
      <c r="P238">
        <v>-8.3000000000000007</v>
      </c>
      <c r="Q238">
        <v>-8.1</v>
      </c>
      <c r="R238">
        <v>-8</v>
      </c>
      <c r="S238">
        <v>0.9</v>
      </c>
      <c r="T238">
        <f t="shared" si="3"/>
        <v>0.9</v>
      </c>
      <c r="U238" s="41" t="s">
        <v>320</v>
      </c>
    </row>
    <row r="239" spans="1:22">
      <c r="A239" t="s">
        <v>105</v>
      </c>
      <c r="B239" t="s">
        <v>259</v>
      </c>
      <c r="C239" s="182" t="s">
        <v>105</v>
      </c>
      <c r="D239">
        <v>102802</v>
      </c>
      <c r="E239">
        <v>62.04</v>
      </c>
      <c r="F239">
        <v>14.36</v>
      </c>
      <c r="G239">
        <v>-28.9</v>
      </c>
      <c r="H239">
        <v>-27.9</v>
      </c>
      <c r="I239">
        <v>-26.8</v>
      </c>
      <c r="J239">
        <v>-25.7</v>
      </c>
      <c r="K239">
        <v>-24.7</v>
      </c>
      <c r="L239">
        <v>-23.9</v>
      </c>
      <c r="M239">
        <v>-23.5</v>
      </c>
      <c r="N239">
        <v>-22.7</v>
      </c>
      <c r="O239">
        <v>-22.5</v>
      </c>
      <c r="P239">
        <v>-22.2</v>
      </c>
      <c r="Q239">
        <v>-22</v>
      </c>
      <c r="R239">
        <v>-21.8</v>
      </c>
      <c r="T239" t="e">
        <f>VALUE(VLOOKUP(C239,FgeoVlookup,2,FALSE))</f>
        <v>#N/A</v>
      </c>
      <c r="U239" s="41"/>
      <c r="V239" t="s">
        <v>555</v>
      </c>
    </row>
    <row r="240" spans="1:22">
      <c r="B240" t="s">
        <v>520</v>
      </c>
      <c r="C240" t="s">
        <v>520</v>
      </c>
      <c r="D240">
        <v>102245</v>
      </c>
      <c r="E240">
        <v>57.5</v>
      </c>
      <c r="F240">
        <v>13.12</v>
      </c>
      <c r="G240">
        <v>-15.3</v>
      </c>
      <c r="H240">
        <v>-14.5</v>
      </c>
      <c r="I240">
        <v>-13.6</v>
      </c>
      <c r="J240">
        <v>-13.3</v>
      </c>
      <c r="K240">
        <v>-13.2</v>
      </c>
      <c r="L240">
        <v>-13</v>
      </c>
      <c r="M240">
        <v>-12.9</v>
      </c>
      <c r="N240">
        <v>-12.9</v>
      </c>
      <c r="O240">
        <v>-12.3</v>
      </c>
      <c r="P240">
        <v>-12</v>
      </c>
      <c r="Q240">
        <v>-11.8</v>
      </c>
      <c r="R240">
        <v>-11.5</v>
      </c>
      <c r="S240">
        <v>1</v>
      </c>
      <c r="T240">
        <f t="shared" si="3"/>
        <v>1</v>
      </c>
      <c r="U240" s="41" t="s">
        <v>520</v>
      </c>
    </row>
    <row r="241" spans="1:22">
      <c r="A241" t="s">
        <v>584</v>
      </c>
      <c r="B241" s="186" t="s">
        <v>255</v>
      </c>
      <c r="C241" t="s">
        <v>584</v>
      </c>
      <c r="D241">
        <v>102821</v>
      </c>
      <c r="E241">
        <v>62.77</v>
      </c>
      <c r="F241">
        <v>14.44</v>
      </c>
      <c r="G241">
        <v>-25.7</v>
      </c>
      <c r="H241">
        <v>-24.6</v>
      </c>
      <c r="I241">
        <v>-23.8</v>
      </c>
      <c r="J241">
        <v>-23.2</v>
      </c>
      <c r="K241">
        <v>-22.1</v>
      </c>
      <c r="L241">
        <v>-21.4</v>
      </c>
      <c r="M241">
        <v>-20.8</v>
      </c>
      <c r="N241">
        <v>-20.100000000000001</v>
      </c>
      <c r="O241">
        <v>-19.7</v>
      </c>
      <c r="P241">
        <v>-19.100000000000001</v>
      </c>
      <c r="Q241">
        <v>-18.8</v>
      </c>
      <c r="R241">
        <v>-18.600000000000001</v>
      </c>
      <c r="S241">
        <v>1.4</v>
      </c>
      <c r="T241">
        <f t="shared" si="3"/>
        <v>1.4</v>
      </c>
      <c r="U241" s="41" t="s">
        <v>255</v>
      </c>
    </row>
    <row r="242" spans="1:22">
      <c r="B242" t="s">
        <v>339</v>
      </c>
      <c r="C242" t="s">
        <v>339</v>
      </c>
      <c r="D242">
        <v>102502</v>
      </c>
      <c r="E242">
        <v>59.13</v>
      </c>
      <c r="F242">
        <v>12.92</v>
      </c>
      <c r="G242">
        <v>-18.399999999999999</v>
      </c>
      <c r="H242">
        <v>-17.5</v>
      </c>
      <c r="I242">
        <v>-17.100000000000001</v>
      </c>
      <c r="J242">
        <v>-16.899999999999999</v>
      </c>
      <c r="K242">
        <v>-16.3</v>
      </c>
      <c r="L242">
        <v>-15.9</v>
      </c>
      <c r="M242">
        <v>-15.9</v>
      </c>
      <c r="N242">
        <v>-15.7</v>
      </c>
      <c r="O242">
        <v>-15.6</v>
      </c>
      <c r="P242">
        <v>-15.1</v>
      </c>
      <c r="Q242">
        <v>-14.8</v>
      </c>
      <c r="R242">
        <v>-14.4</v>
      </c>
      <c r="S242">
        <v>1</v>
      </c>
      <c r="T242">
        <f t="shared" si="3"/>
        <v>1</v>
      </c>
      <c r="U242" s="41" t="s">
        <v>339</v>
      </c>
    </row>
    <row r="243" spans="1:22">
      <c r="A243" s="334" t="s">
        <v>521</v>
      </c>
      <c r="B243" s="334" t="s">
        <v>521</v>
      </c>
      <c r="C243" s="182" t="s">
        <v>521</v>
      </c>
      <c r="D243">
        <v>102714</v>
      </c>
      <c r="E243">
        <v>61.09</v>
      </c>
      <c r="F243">
        <v>13.23</v>
      </c>
      <c r="G243">
        <v>-28.7</v>
      </c>
      <c r="H243">
        <v>-28.1</v>
      </c>
      <c r="I243">
        <v>-26.6</v>
      </c>
      <c r="J243">
        <v>-26.4</v>
      </c>
      <c r="K243">
        <v>-25.4</v>
      </c>
      <c r="L243">
        <v>-25.2</v>
      </c>
      <c r="M243">
        <v>-24.9</v>
      </c>
      <c r="N243">
        <v>-24.2</v>
      </c>
      <c r="O243">
        <v>-24.2</v>
      </c>
      <c r="P243">
        <v>-23.9</v>
      </c>
      <c r="Q243">
        <v>-23.5</v>
      </c>
      <c r="R243">
        <v>-23.5</v>
      </c>
      <c r="T243">
        <f>VALUE(VLOOKUP(C243,FgeoVlookup,2,FALSE))</f>
        <v>1.3</v>
      </c>
      <c r="U243" s="41"/>
      <c r="V243" t="s">
        <v>572</v>
      </c>
    </row>
    <row r="244" spans="1:22">
      <c r="B244" t="s">
        <v>228</v>
      </c>
      <c r="C244" t="s">
        <v>228</v>
      </c>
      <c r="D244">
        <v>102703</v>
      </c>
      <c r="E244">
        <v>60.35</v>
      </c>
      <c r="F244">
        <v>15.74</v>
      </c>
      <c r="G244">
        <v>-20.399999999999999</v>
      </c>
      <c r="H244">
        <v>-19.399999999999999</v>
      </c>
      <c r="I244">
        <v>-18.899999999999999</v>
      </c>
      <c r="J244">
        <v>-18.100000000000001</v>
      </c>
      <c r="K244">
        <v>-17.899999999999999</v>
      </c>
      <c r="L244">
        <v>-17.399999999999999</v>
      </c>
      <c r="M244">
        <v>-17.100000000000001</v>
      </c>
      <c r="N244">
        <v>-16.8</v>
      </c>
      <c r="O244">
        <v>-16.7</v>
      </c>
      <c r="P244">
        <v>-16.399999999999999</v>
      </c>
      <c r="Q244">
        <v>-16.100000000000001</v>
      </c>
      <c r="R244">
        <v>-16</v>
      </c>
      <c r="S244">
        <v>1.1000000000000001</v>
      </c>
      <c r="T244">
        <f t="shared" si="3"/>
        <v>1.1000000000000001</v>
      </c>
      <c r="U244" s="180" t="s">
        <v>228</v>
      </c>
    </row>
    <row r="245" spans="1:22">
      <c r="B245" t="s">
        <v>274</v>
      </c>
      <c r="C245" t="s">
        <v>274</v>
      </c>
      <c r="D245">
        <v>102334</v>
      </c>
      <c r="E245">
        <v>57.4</v>
      </c>
      <c r="F245">
        <v>14.66</v>
      </c>
      <c r="G245">
        <v>-16.2</v>
      </c>
      <c r="H245">
        <v>-15.3</v>
      </c>
      <c r="I245">
        <v>-14.5</v>
      </c>
      <c r="J245">
        <v>-14.3</v>
      </c>
      <c r="K245">
        <v>-13.7</v>
      </c>
      <c r="L245">
        <v>-13.7</v>
      </c>
      <c r="M245">
        <v>-13.7</v>
      </c>
      <c r="N245">
        <v>-13.7</v>
      </c>
      <c r="O245">
        <v>-13.2</v>
      </c>
      <c r="P245">
        <v>-12.8</v>
      </c>
      <c r="Q245">
        <v>-12.4</v>
      </c>
      <c r="R245">
        <v>-12.1</v>
      </c>
      <c r="S245">
        <v>1.1000000000000001</v>
      </c>
      <c r="T245">
        <f t="shared" si="3"/>
        <v>1.1000000000000001</v>
      </c>
      <c r="U245" s="41" t="s">
        <v>274</v>
      </c>
    </row>
    <row r="246" spans="1:22">
      <c r="B246" t="s">
        <v>249</v>
      </c>
      <c r="C246" t="s">
        <v>249</v>
      </c>
      <c r="D246">
        <v>102719</v>
      </c>
      <c r="E246">
        <v>61.31</v>
      </c>
      <c r="F246">
        <v>17.079999999999998</v>
      </c>
      <c r="G246">
        <v>-19.2</v>
      </c>
      <c r="H246">
        <v>-18.2</v>
      </c>
      <c r="I246">
        <v>-17.600000000000001</v>
      </c>
      <c r="J246">
        <v>-17.100000000000001</v>
      </c>
      <c r="K246">
        <v>-16.7</v>
      </c>
      <c r="L246">
        <v>-16</v>
      </c>
      <c r="M246">
        <v>-15.5</v>
      </c>
      <c r="N246">
        <v>-15.5</v>
      </c>
      <c r="O246">
        <v>-15.1</v>
      </c>
      <c r="P246">
        <v>-14.8</v>
      </c>
      <c r="Q246">
        <v>-14.6</v>
      </c>
      <c r="R246">
        <v>-14.3</v>
      </c>
      <c r="S246">
        <v>1.2</v>
      </c>
      <c r="T246">
        <f t="shared" si="3"/>
        <v>1.2</v>
      </c>
      <c r="U246" s="180" t="s">
        <v>249</v>
      </c>
    </row>
    <row r="247" spans="1:22">
      <c r="B247" t="s">
        <v>392</v>
      </c>
      <c r="C247" t="s">
        <v>392</v>
      </c>
      <c r="D247">
        <v>102247</v>
      </c>
      <c r="E247">
        <v>58.73</v>
      </c>
      <c r="F247">
        <v>11.33</v>
      </c>
      <c r="G247">
        <v>-13.9</v>
      </c>
      <c r="H247">
        <v>-13.2</v>
      </c>
      <c r="I247">
        <v>-12.8</v>
      </c>
      <c r="J247">
        <v>-12.4</v>
      </c>
      <c r="K247">
        <v>-12</v>
      </c>
      <c r="L247">
        <v>-11.8</v>
      </c>
      <c r="M247">
        <v>-11.8</v>
      </c>
      <c r="N247">
        <v>-11.3</v>
      </c>
      <c r="O247">
        <v>-11.2</v>
      </c>
      <c r="P247">
        <v>-11</v>
      </c>
      <c r="Q247">
        <v>-10.7</v>
      </c>
      <c r="R247">
        <v>-10.5</v>
      </c>
      <c r="S247">
        <v>0.9</v>
      </c>
      <c r="T247">
        <f t="shared" si="3"/>
        <v>0.9</v>
      </c>
      <c r="U247" s="41" t="s">
        <v>392</v>
      </c>
    </row>
    <row r="248" spans="1:22">
      <c r="B248" t="s">
        <v>417</v>
      </c>
      <c r="C248" t="s">
        <v>417</v>
      </c>
      <c r="D248">
        <v>102241</v>
      </c>
      <c r="E248">
        <v>58.42</v>
      </c>
      <c r="F248">
        <v>14.17</v>
      </c>
      <c r="G248">
        <v>-15.1</v>
      </c>
      <c r="H248">
        <v>-14.5</v>
      </c>
      <c r="I248">
        <v>-13.7</v>
      </c>
      <c r="J248">
        <v>-13.2</v>
      </c>
      <c r="K248">
        <v>-13.1</v>
      </c>
      <c r="L248">
        <v>-12.7</v>
      </c>
      <c r="M248">
        <v>-12.7</v>
      </c>
      <c r="N248">
        <v>-12.7</v>
      </c>
      <c r="O248">
        <v>-12.2</v>
      </c>
      <c r="P248">
        <v>-11.8</v>
      </c>
      <c r="Q248">
        <v>-11.3</v>
      </c>
      <c r="R248">
        <v>-11</v>
      </c>
      <c r="S248">
        <v>1</v>
      </c>
      <c r="T248">
        <f t="shared" si="3"/>
        <v>1</v>
      </c>
      <c r="U248" s="41" t="s">
        <v>417</v>
      </c>
    </row>
    <row r="249" spans="1:22">
      <c r="B249" t="s">
        <v>418</v>
      </c>
      <c r="C249" t="s">
        <v>418</v>
      </c>
      <c r="D249">
        <v>102251</v>
      </c>
      <c r="E249">
        <v>58.18</v>
      </c>
      <c r="F249">
        <v>13.95</v>
      </c>
      <c r="G249">
        <v>-15.4</v>
      </c>
      <c r="H249">
        <v>-14.8</v>
      </c>
      <c r="I249">
        <v>-14.2</v>
      </c>
      <c r="J249">
        <v>-13.3</v>
      </c>
      <c r="K249">
        <v>-13.3</v>
      </c>
      <c r="L249">
        <v>-12.8</v>
      </c>
      <c r="M249">
        <v>-12.8</v>
      </c>
      <c r="N249">
        <v>-12.8</v>
      </c>
      <c r="O249">
        <v>-12.5</v>
      </c>
      <c r="P249">
        <v>-12</v>
      </c>
      <c r="Q249">
        <v>-11.6</v>
      </c>
      <c r="R249">
        <v>-11.2</v>
      </c>
      <c r="S249">
        <v>1</v>
      </c>
      <c r="T249">
        <f t="shared" si="3"/>
        <v>1</v>
      </c>
      <c r="U249" s="41" t="s">
        <v>418</v>
      </c>
    </row>
    <row r="250" spans="1:22">
      <c r="B250" t="s">
        <v>335</v>
      </c>
      <c r="C250" t="s">
        <v>335</v>
      </c>
      <c r="D250">
        <v>102619</v>
      </c>
      <c r="E250">
        <v>60.35</v>
      </c>
      <c r="F250">
        <v>17.52</v>
      </c>
      <c r="G250">
        <v>-17.7</v>
      </c>
      <c r="H250">
        <v>-17</v>
      </c>
      <c r="I250">
        <v>-16.3</v>
      </c>
      <c r="J250">
        <v>-15.8</v>
      </c>
      <c r="K250">
        <v>-15.3</v>
      </c>
      <c r="L250">
        <v>-15</v>
      </c>
      <c r="M250">
        <v>-14.9</v>
      </c>
      <c r="N250">
        <v>-14.8</v>
      </c>
      <c r="O250">
        <v>-14.7</v>
      </c>
      <c r="P250">
        <v>-14.4</v>
      </c>
      <c r="Q250">
        <v>-14.3</v>
      </c>
      <c r="R250">
        <v>-14.1</v>
      </c>
      <c r="S250">
        <v>1.1000000000000001</v>
      </c>
      <c r="T250">
        <f t="shared" si="3"/>
        <v>1.1000000000000001</v>
      </c>
      <c r="U250" s="41" t="s">
        <v>335</v>
      </c>
    </row>
    <row r="251" spans="1:22">
      <c r="B251" t="s">
        <v>368</v>
      </c>
      <c r="C251" t="s">
        <v>368</v>
      </c>
      <c r="D251">
        <v>102822</v>
      </c>
      <c r="E251">
        <v>62.5</v>
      </c>
      <c r="F251">
        <v>17.329999999999998</v>
      </c>
      <c r="G251">
        <v>-23.2</v>
      </c>
      <c r="H251">
        <v>-22.5</v>
      </c>
      <c r="I251">
        <v>-21.9</v>
      </c>
      <c r="J251">
        <v>-21.1</v>
      </c>
      <c r="K251">
        <v>-20.2</v>
      </c>
      <c r="L251">
        <v>-19.8</v>
      </c>
      <c r="M251">
        <v>-19.100000000000001</v>
      </c>
      <c r="N251">
        <v>-18.600000000000001</v>
      </c>
      <c r="O251">
        <v>-18.3</v>
      </c>
      <c r="P251">
        <v>-18.2</v>
      </c>
      <c r="Q251">
        <v>-17.7</v>
      </c>
      <c r="R251">
        <v>-17.399999999999999</v>
      </c>
      <c r="S251">
        <v>1.3</v>
      </c>
      <c r="T251">
        <f t="shared" si="3"/>
        <v>1.3</v>
      </c>
      <c r="U251" s="41" t="s">
        <v>368</v>
      </c>
    </row>
    <row r="252" spans="1:22">
      <c r="B252" s="84" t="s">
        <v>526</v>
      </c>
      <c r="C252" t="s">
        <v>526</v>
      </c>
      <c r="D252">
        <v>102237</v>
      </c>
      <c r="E252">
        <v>58</v>
      </c>
      <c r="F252">
        <v>11.55</v>
      </c>
      <c r="G252">
        <v>-12.3</v>
      </c>
      <c r="H252">
        <v>-11.7</v>
      </c>
      <c r="I252">
        <v>-11.1</v>
      </c>
      <c r="J252">
        <v>-10.8</v>
      </c>
      <c r="K252">
        <v>-10.4</v>
      </c>
      <c r="L252">
        <v>-10.3</v>
      </c>
      <c r="M252">
        <v>-10.1</v>
      </c>
      <c r="N252">
        <v>-10.1</v>
      </c>
      <c r="O252">
        <v>-10</v>
      </c>
      <c r="P252">
        <v>-9.6999999999999993</v>
      </c>
      <c r="Q252">
        <v>-9.5</v>
      </c>
      <c r="R252">
        <v>-9.1999999999999993</v>
      </c>
      <c r="S252">
        <v>0.9</v>
      </c>
      <c r="T252">
        <f t="shared" si="3"/>
        <v>0.9</v>
      </c>
      <c r="U252" s="183" t="s">
        <v>526</v>
      </c>
    </row>
    <row r="253" spans="1:22">
      <c r="B253" t="s">
        <v>321</v>
      </c>
      <c r="C253" t="s">
        <v>321</v>
      </c>
      <c r="D253">
        <v>102123</v>
      </c>
      <c r="E253">
        <v>55.55</v>
      </c>
      <c r="F253">
        <v>13.94</v>
      </c>
      <c r="G253">
        <v>-11.1</v>
      </c>
      <c r="H253">
        <v>-10.6</v>
      </c>
      <c r="I253">
        <v>-10</v>
      </c>
      <c r="J253">
        <v>-9.8000000000000007</v>
      </c>
      <c r="K253">
        <v>-9.6</v>
      </c>
      <c r="L253">
        <v>-9.1999999999999993</v>
      </c>
      <c r="M253">
        <v>-9.1999999999999993</v>
      </c>
      <c r="N253">
        <v>-8.9</v>
      </c>
      <c r="O253">
        <v>-8.8000000000000007</v>
      </c>
      <c r="P253">
        <v>-8.5</v>
      </c>
      <c r="Q253">
        <v>-8.1999999999999993</v>
      </c>
      <c r="R253">
        <v>-8</v>
      </c>
      <c r="S253">
        <v>0.9</v>
      </c>
      <c r="T253">
        <f t="shared" si="3"/>
        <v>0.9</v>
      </c>
      <c r="U253" s="41" t="s">
        <v>321</v>
      </c>
    </row>
    <row r="254" spans="1:22">
      <c r="B254" t="s">
        <v>352</v>
      </c>
      <c r="C254" t="s">
        <v>352</v>
      </c>
      <c r="D254">
        <v>102505</v>
      </c>
      <c r="E254">
        <v>60.13</v>
      </c>
      <c r="F254">
        <v>13.01</v>
      </c>
      <c r="G254">
        <v>-22.8</v>
      </c>
      <c r="H254">
        <v>-21.9</v>
      </c>
      <c r="I254">
        <v>-21.1</v>
      </c>
      <c r="J254">
        <v>-20.8</v>
      </c>
      <c r="K254">
        <v>-20</v>
      </c>
      <c r="L254">
        <v>-19.600000000000001</v>
      </c>
      <c r="M254">
        <v>-19.399999999999999</v>
      </c>
      <c r="N254">
        <v>-19.100000000000001</v>
      </c>
      <c r="O254">
        <v>-18.899999999999999</v>
      </c>
      <c r="P254">
        <v>-18.8</v>
      </c>
      <c r="Q254">
        <v>-18.5</v>
      </c>
      <c r="R254">
        <v>-18.3</v>
      </c>
      <c r="S254">
        <v>1.2</v>
      </c>
      <c r="T254">
        <f t="shared" si="3"/>
        <v>1.2</v>
      </c>
      <c r="U254" s="41" t="s">
        <v>352</v>
      </c>
    </row>
    <row r="255" spans="1:22">
      <c r="B255" t="s">
        <v>281</v>
      </c>
      <c r="C255" t="s">
        <v>281</v>
      </c>
      <c r="D255">
        <v>102306</v>
      </c>
      <c r="E255">
        <v>56.41</v>
      </c>
      <c r="F255">
        <v>16</v>
      </c>
      <c r="G255">
        <v>-11.6</v>
      </c>
      <c r="H255">
        <v>-11.1</v>
      </c>
      <c r="I255">
        <v>-10.6</v>
      </c>
      <c r="J255">
        <v>-10.199999999999999</v>
      </c>
      <c r="K255">
        <v>-9.9</v>
      </c>
      <c r="L255">
        <v>-9.8000000000000007</v>
      </c>
      <c r="M255">
        <v>-9.6</v>
      </c>
      <c r="N255">
        <v>-9.5</v>
      </c>
      <c r="O255">
        <v>-9.1999999999999993</v>
      </c>
      <c r="P255">
        <v>-8.9</v>
      </c>
      <c r="Q255">
        <v>-8.6</v>
      </c>
      <c r="R255">
        <v>-8.4</v>
      </c>
      <c r="S255">
        <v>0.9</v>
      </c>
      <c r="T255">
        <f t="shared" si="3"/>
        <v>0.9</v>
      </c>
      <c r="U255" s="41" t="s">
        <v>281</v>
      </c>
    </row>
    <row r="256" spans="1:22">
      <c r="B256" t="s">
        <v>424</v>
      </c>
      <c r="C256" t="s">
        <v>424</v>
      </c>
      <c r="D256">
        <v>102250</v>
      </c>
      <c r="E256">
        <v>57.48</v>
      </c>
      <c r="F256">
        <v>13.35</v>
      </c>
      <c r="G256">
        <v>-15.6</v>
      </c>
      <c r="H256">
        <v>-14.7</v>
      </c>
      <c r="I256">
        <v>-14</v>
      </c>
      <c r="J256">
        <v>-13.6</v>
      </c>
      <c r="K256">
        <v>-13.3</v>
      </c>
      <c r="L256">
        <v>-13.2</v>
      </c>
      <c r="M256">
        <v>-13.1</v>
      </c>
      <c r="N256">
        <v>-13</v>
      </c>
      <c r="O256">
        <v>-12.4</v>
      </c>
      <c r="P256">
        <v>-12.2</v>
      </c>
      <c r="Q256">
        <v>-11.9</v>
      </c>
      <c r="R256">
        <v>-11.7</v>
      </c>
      <c r="S256">
        <v>1.1000000000000001</v>
      </c>
      <c r="T256">
        <f t="shared" si="3"/>
        <v>1.1000000000000001</v>
      </c>
      <c r="U256" s="41" t="s">
        <v>424</v>
      </c>
    </row>
    <row r="257" spans="2:21">
      <c r="B257" t="s">
        <v>268</v>
      </c>
      <c r="C257" t="s">
        <v>268</v>
      </c>
      <c r="D257">
        <v>102328</v>
      </c>
      <c r="E257">
        <v>58.03</v>
      </c>
      <c r="F257">
        <v>14.98</v>
      </c>
      <c r="G257">
        <v>-15.7</v>
      </c>
      <c r="H257">
        <v>-15.3</v>
      </c>
      <c r="I257">
        <v>-14.4</v>
      </c>
      <c r="J257">
        <v>-13.6</v>
      </c>
      <c r="K257">
        <v>-13.5</v>
      </c>
      <c r="L257">
        <v>-12.9</v>
      </c>
      <c r="M257">
        <v>-12.9</v>
      </c>
      <c r="N257">
        <v>-12.9</v>
      </c>
      <c r="O257">
        <v>-12.4</v>
      </c>
      <c r="P257">
        <v>-12.1</v>
      </c>
      <c r="Q257">
        <v>-11.6</v>
      </c>
      <c r="R257">
        <v>-11.4</v>
      </c>
      <c r="S257">
        <v>1</v>
      </c>
      <c r="T257">
        <f t="shared" si="3"/>
        <v>1</v>
      </c>
      <c r="U257" s="41" t="s">
        <v>268</v>
      </c>
    </row>
    <row r="258" spans="2:21">
      <c r="B258" t="s">
        <v>322</v>
      </c>
      <c r="C258" t="s">
        <v>322</v>
      </c>
      <c r="D258">
        <v>102101</v>
      </c>
      <c r="E258">
        <v>55.38</v>
      </c>
      <c r="F258">
        <v>13.17</v>
      </c>
      <c r="G258">
        <v>-10.3</v>
      </c>
      <c r="H258">
        <v>-9.3000000000000007</v>
      </c>
      <c r="I258">
        <v>-9</v>
      </c>
      <c r="J258">
        <v>-8.8000000000000007</v>
      </c>
      <c r="K258">
        <v>-8.5</v>
      </c>
      <c r="L258">
        <v>-8.3000000000000007</v>
      </c>
      <c r="M258">
        <v>-8.1999999999999993</v>
      </c>
      <c r="N258">
        <v>-7.9</v>
      </c>
      <c r="O258">
        <v>-7.8</v>
      </c>
      <c r="P258">
        <v>-7.7</v>
      </c>
      <c r="Q258">
        <v>-7.5</v>
      </c>
      <c r="R258">
        <v>-7.4</v>
      </c>
      <c r="S258">
        <v>0.9</v>
      </c>
      <c r="T258">
        <f t="shared" si="3"/>
        <v>0.9</v>
      </c>
      <c r="U258" s="41" t="s">
        <v>322</v>
      </c>
    </row>
    <row r="259" spans="2:21">
      <c r="B259" t="s">
        <v>419</v>
      </c>
      <c r="C259" t="s">
        <v>419</v>
      </c>
      <c r="D259">
        <v>102212</v>
      </c>
      <c r="E259">
        <v>58.28</v>
      </c>
      <c r="F259">
        <v>12.3</v>
      </c>
      <c r="G259">
        <v>-14.9</v>
      </c>
      <c r="H259">
        <v>-14.3</v>
      </c>
      <c r="I259">
        <v>-13.7</v>
      </c>
      <c r="J259">
        <v>-13.3</v>
      </c>
      <c r="K259">
        <v>-13.1</v>
      </c>
      <c r="L259">
        <v>-13</v>
      </c>
      <c r="M259">
        <v>-12.9</v>
      </c>
      <c r="N259">
        <v>-12.6</v>
      </c>
      <c r="O259">
        <v>-12.5</v>
      </c>
      <c r="P259">
        <v>-12</v>
      </c>
      <c r="Q259">
        <v>-11.5</v>
      </c>
      <c r="R259">
        <v>-11.3</v>
      </c>
      <c r="S259">
        <v>1</v>
      </c>
      <c r="T259">
        <f t="shared" si="3"/>
        <v>1</v>
      </c>
      <c r="U259" s="41" t="s">
        <v>419</v>
      </c>
    </row>
    <row r="260" spans="2:21">
      <c r="B260" t="s">
        <v>420</v>
      </c>
      <c r="C260" t="s">
        <v>420</v>
      </c>
      <c r="D260">
        <v>102239</v>
      </c>
      <c r="E260">
        <v>58.72</v>
      </c>
      <c r="F260">
        <v>14.13</v>
      </c>
      <c r="G260">
        <v>-15.7</v>
      </c>
      <c r="H260">
        <v>-15.1</v>
      </c>
      <c r="I260">
        <v>-14.4</v>
      </c>
      <c r="J260">
        <v>-14.1</v>
      </c>
      <c r="K260">
        <v>-13.6</v>
      </c>
      <c r="L260">
        <v>-13.6</v>
      </c>
      <c r="M260">
        <v>-13.3</v>
      </c>
      <c r="N260">
        <v>-13.2</v>
      </c>
      <c r="O260">
        <v>-12.6</v>
      </c>
      <c r="P260">
        <v>-12.2</v>
      </c>
      <c r="Q260">
        <v>-12</v>
      </c>
      <c r="R260">
        <v>-11.4</v>
      </c>
      <c r="S260">
        <v>1</v>
      </c>
      <c r="T260">
        <f t="shared" si="3"/>
        <v>1</v>
      </c>
      <c r="U260" s="41" t="s">
        <v>420</v>
      </c>
    </row>
    <row r="261" spans="2:21">
      <c r="B261" t="s">
        <v>393</v>
      </c>
      <c r="C261" t="s">
        <v>393</v>
      </c>
      <c r="D261">
        <v>102210</v>
      </c>
      <c r="E261">
        <v>58.35</v>
      </c>
      <c r="F261">
        <v>11.8</v>
      </c>
      <c r="G261">
        <v>-13.8</v>
      </c>
      <c r="H261">
        <v>-13.1</v>
      </c>
      <c r="I261">
        <v>-12.6</v>
      </c>
      <c r="J261">
        <v>-12.3</v>
      </c>
      <c r="K261">
        <v>-11.9</v>
      </c>
      <c r="L261">
        <v>-11.8</v>
      </c>
      <c r="M261">
        <v>-11.5</v>
      </c>
      <c r="N261">
        <v>-11.5</v>
      </c>
      <c r="O261">
        <v>-11.3</v>
      </c>
      <c r="P261">
        <v>-10.9</v>
      </c>
      <c r="Q261">
        <v>-10.7</v>
      </c>
      <c r="R261">
        <v>-10.6</v>
      </c>
      <c r="S261">
        <v>0.9</v>
      </c>
      <c r="T261">
        <f t="shared" si="3"/>
        <v>0.9</v>
      </c>
      <c r="U261" s="41" t="s">
        <v>393</v>
      </c>
    </row>
    <row r="262" spans="2:21">
      <c r="B262" t="s">
        <v>425</v>
      </c>
      <c r="C262" t="s">
        <v>425</v>
      </c>
      <c r="D262">
        <v>102207</v>
      </c>
      <c r="E262">
        <v>57.8</v>
      </c>
      <c r="F262">
        <v>13.41</v>
      </c>
      <c r="G262">
        <v>-16</v>
      </c>
      <c r="H262">
        <v>-15.5</v>
      </c>
      <c r="I262">
        <v>-14.7</v>
      </c>
      <c r="J262">
        <v>-14.5</v>
      </c>
      <c r="K262">
        <v>-14.1</v>
      </c>
      <c r="L262">
        <v>-13.9</v>
      </c>
      <c r="M262">
        <v>-13.8</v>
      </c>
      <c r="N262">
        <v>-13.6</v>
      </c>
      <c r="O262">
        <v>-13.2</v>
      </c>
      <c r="P262">
        <v>-12.7</v>
      </c>
      <c r="Q262">
        <v>-12.4</v>
      </c>
      <c r="R262">
        <v>-11.9</v>
      </c>
      <c r="S262">
        <v>1.1000000000000001</v>
      </c>
      <c r="T262">
        <f t="shared" ref="T262:T295" si="4">VALUE(VLOOKUP(B262,FgeoVlookup,2,FALSE))</f>
        <v>1.1000000000000001</v>
      </c>
      <c r="U262" s="41" t="s">
        <v>425</v>
      </c>
    </row>
    <row r="263" spans="2:21">
      <c r="B263" t="s">
        <v>353</v>
      </c>
      <c r="C263" t="s">
        <v>353</v>
      </c>
      <c r="D263">
        <v>102905</v>
      </c>
      <c r="E263">
        <v>63.83</v>
      </c>
      <c r="F263">
        <v>20.260000000000002</v>
      </c>
      <c r="G263">
        <v>-23.5</v>
      </c>
      <c r="H263">
        <v>-22.8</v>
      </c>
      <c r="I263">
        <v>-22.1</v>
      </c>
      <c r="J263">
        <v>-21.5</v>
      </c>
      <c r="K263">
        <v>-21.4</v>
      </c>
      <c r="L263">
        <v>-20.9</v>
      </c>
      <c r="M263">
        <v>-20.399999999999999</v>
      </c>
      <c r="N263">
        <v>-20.399999999999999</v>
      </c>
      <c r="O263">
        <v>-19.899999999999999</v>
      </c>
      <c r="P263">
        <v>-19.5</v>
      </c>
      <c r="Q263">
        <v>-19.2</v>
      </c>
      <c r="R263">
        <v>-18.8</v>
      </c>
      <c r="S263">
        <v>1.3</v>
      </c>
      <c r="T263">
        <f t="shared" si="4"/>
        <v>1.3</v>
      </c>
      <c r="U263" s="41" t="s">
        <v>353</v>
      </c>
    </row>
    <row r="264" spans="2:21">
      <c r="B264" t="s">
        <v>108</v>
      </c>
      <c r="C264" t="s">
        <v>108</v>
      </c>
      <c r="D264">
        <v>102617</v>
      </c>
      <c r="E264">
        <v>59.84</v>
      </c>
      <c r="F264">
        <v>17.64</v>
      </c>
      <c r="G264">
        <v>-18.100000000000001</v>
      </c>
      <c r="H264">
        <v>-17.3</v>
      </c>
      <c r="I264">
        <v>-16.7</v>
      </c>
      <c r="J264">
        <v>-16.100000000000001</v>
      </c>
      <c r="K264">
        <v>-15.6</v>
      </c>
      <c r="L264">
        <v>-15.3</v>
      </c>
      <c r="M264">
        <v>-15</v>
      </c>
      <c r="N264">
        <v>-14.8</v>
      </c>
      <c r="O264">
        <v>-14.7</v>
      </c>
      <c r="P264">
        <v>-14.5</v>
      </c>
      <c r="Q264">
        <v>-14.2</v>
      </c>
      <c r="R264">
        <v>-14</v>
      </c>
      <c r="S264">
        <v>1</v>
      </c>
      <c r="T264">
        <f t="shared" si="4"/>
        <v>1</v>
      </c>
      <c r="U264" s="41" t="s">
        <v>108</v>
      </c>
    </row>
    <row r="265" spans="2:21">
      <c r="B265" t="s">
        <v>269</v>
      </c>
      <c r="C265" t="s">
        <v>269</v>
      </c>
      <c r="D265">
        <v>102319</v>
      </c>
      <c r="E265">
        <v>57.5</v>
      </c>
      <c r="F265">
        <v>14.14</v>
      </c>
      <c r="G265">
        <v>-16.3</v>
      </c>
      <c r="H265">
        <v>-15.5</v>
      </c>
      <c r="I265">
        <v>-14.7</v>
      </c>
      <c r="J265">
        <v>-14.3</v>
      </c>
      <c r="K265">
        <v>-13.8</v>
      </c>
      <c r="L265">
        <v>-13.6</v>
      </c>
      <c r="M265">
        <v>-13.6</v>
      </c>
      <c r="N265">
        <v>-13.6</v>
      </c>
      <c r="O265">
        <v>-13.1</v>
      </c>
      <c r="P265">
        <v>-12.7</v>
      </c>
      <c r="Q265">
        <v>-12.4</v>
      </c>
      <c r="R265">
        <v>-12</v>
      </c>
      <c r="S265">
        <v>1</v>
      </c>
      <c r="T265">
        <f t="shared" si="4"/>
        <v>1</v>
      </c>
      <c r="U265" s="41" t="s">
        <v>269</v>
      </c>
    </row>
    <row r="266" spans="2:21">
      <c r="B266" t="s">
        <v>237</v>
      </c>
      <c r="C266" t="s">
        <v>237</v>
      </c>
      <c r="D266">
        <v>102705</v>
      </c>
      <c r="E266">
        <v>60.51</v>
      </c>
      <c r="F266">
        <v>14.22</v>
      </c>
      <c r="G266">
        <v>-23.8</v>
      </c>
      <c r="H266">
        <v>-22.5</v>
      </c>
      <c r="I266">
        <v>-22</v>
      </c>
      <c r="J266">
        <v>-21.7</v>
      </c>
      <c r="K266">
        <v>-20.9</v>
      </c>
      <c r="L266">
        <v>-20.3</v>
      </c>
      <c r="M266">
        <v>-20.2</v>
      </c>
      <c r="N266">
        <v>-19.7</v>
      </c>
      <c r="O266">
        <v>-19.3</v>
      </c>
      <c r="P266">
        <v>-19.100000000000001</v>
      </c>
      <c r="Q266">
        <v>-19</v>
      </c>
      <c r="R266">
        <v>-18.899999999999999</v>
      </c>
      <c r="S266">
        <v>1.2</v>
      </c>
      <c r="T266">
        <f t="shared" si="4"/>
        <v>1.2</v>
      </c>
      <c r="U266" s="180" t="s">
        <v>237</v>
      </c>
    </row>
    <row r="267" spans="2:21">
      <c r="B267" t="s">
        <v>421</v>
      </c>
      <c r="C267" t="s">
        <v>421</v>
      </c>
      <c r="D267">
        <v>102523</v>
      </c>
      <c r="E267">
        <v>58.32</v>
      </c>
      <c r="F267">
        <v>13.04</v>
      </c>
      <c r="G267">
        <v>-15.9</v>
      </c>
      <c r="H267">
        <v>-15.2</v>
      </c>
      <c r="I267">
        <v>-14.2</v>
      </c>
      <c r="J267">
        <v>-13.9</v>
      </c>
      <c r="K267">
        <v>-13.5</v>
      </c>
      <c r="L267">
        <v>-13.3</v>
      </c>
      <c r="M267">
        <v>-13.3</v>
      </c>
      <c r="N267">
        <v>-13.3</v>
      </c>
      <c r="O267">
        <v>-12.7</v>
      </c>
      <c r="P267">
        <v>-12.3</v>
      </c>
      <c r="Q267">
        <v>-11.9</v>
      </c>
      <c r="R267">
        <v>-11.6</v>
      </c>
      <c r="S267">
        <v>1</v>
      </c>
      <c r="T267">
        <f t="shared" si="4"/>
        <v>1</v>
      </c>
      <c r="U267" s="41" t="s">
        <v>421</v>
      </c>
    </row>
    <row r="268" spans="2:21">
      <c r="B268" t="s">
        <v>270</v>
      </c>
      <c r="C268" t="s">
        <v>270</v>
      </c>
      <c r="D268">
        <v>102323</v>
      </c>
      <c r="E268">
        <v>57.42</v>
      </c>
      <c r="F268">
        <v>15.09</v>
      </c>
      <c r="G268">
        <v>-16</v>
      </c>
      <c r="H268">
        <v>-15.1</v>
      </c>
      <c r="I268">
        <v>-14.5</v>
      </c>
      <c r="J268">
        <v>-13.9</v>
      </c>
      <c r="K268">
        <v>-13.6</v>
      </c>
      <c r="L268">
        <v>-13.4</v>
      </c>
      <c r="M268">
        <v>-13.4</v>
      </c>
      <c r="N268">
        <v>-13.3</v>
      </c>
      <c r="O268">
        <v>-12.9</v>
      </c>
      <c r="P268">
        <v>-12.4</v>
      </c>
      <c r="Q268">
        <v>-12</v>
      </c>
      <c r="R268">
        <v>-11.7</v>
      </c>
      <c r="S268">
        <v>1</v>
      </c>
      <c r="T268">
        <f t="shared" si="4"/>
        <v>1</v>
      </c>
      <c r="U268" s="41" t="s">
        <v>270</v>
      </c>
    </row>
    <row r="269" spans="2:21">
      <c r="B269" t="s">
        <v>540</v>
      </c>
      <c r="C269" t="s">
        <v>540</v>
      </c>
      <c r="D269">
        <v>102902</v>
      </c>
      <c r="E269">
        <v>64.63</v>
      </c>
      <c r="F269">
        <v>16.66</v>
      </c>
      <c r="G269">
        <v>-29.8</v>
      </c>
      <c r="H269">
        <v>-29</v>
      </c>
      <c r="I269">
        <v>-27.5</v>
      </c>
      <c r="J269">
        <v>-26.8</v>
      </c>
      <c r="K269">
        <v>-26.1</v>
      </c>
      <c r="L269">
        <v>-25.8</v>
      </c>
      <c r="M269">
        <v>-25.6</v>
      </c>
      <c r="N269">
        <v>-25.2</v>
      </c>
      <c r="O269">
        <v>-24.8</v>
      </c>
      <c r="P269">
        <v>-24.8</v>
      </c>
      <c r="Q269">
        <v>-24.8</v>
      </c>
      <c r="R269">
        <v>-24.5</v>
      </c>
      <c r="S269">
        <v>1.6</v>
      </c>
      <c r="T269">
        <f t="shared" si="4"/>
        <v>1.6</v>
      </c>
      <c r="U269" s="41" t="s">
        <v>540</v>
      </c>
    </row>
    <row r="270" spans="2:21">
      <c r="B270" t="s">
        <v>285</v>
      </c>
      <c r="C270" t="s">
        <v>285</v>
      </c>
      <c r="D270">
        <v>102327</v>
      </c>
      <c r="E270">
        <v>57.67</v>
      </c>
      <c r="F270">
        <v>15.86</v>
      </c>
      <c r="G270">
        <v>-16.3</v>
      </c>
      <c r="H270">
        <v>-15.1</v>
      </c>
      <c r="I270">
        <v>-14.4</v>
      </c>
      <c r="J270">
        <v>-13.6</v>
      </c>
      <c r="K270">
        <v>-13.1</v>
      </c>
      <c r="L270">
        <v>-13.1</v>
      </c>
      <c r="M270">
        <v>-13.1</v>
      </c>
      <c r="N270">
        <v>-12.9</v>
      </c>
      <c r="O270">
        <v>-12.6</v>
      </c>
      <c r="P270">
        <v>-12.2</v>
      </c>
      <c r="Q270">
        <v>-11.9</v>
      </c>
      <c r="R270">
        <v>-11.5</v>
      </c>
      <c r="S270">
        <v>1</v>
      </c>
      <c r="T270">
        <f t="shared" si="4"/>
        <v>1</v>
      </c>
      <c r="U270" s="41" t="s">
        <v>285</v>
      </c>
    </row>
    <row r="271" spans="2:21">
      <c r="B271" t="s">
        <v>359</v>
      </c>
      <c r="C271" t="s">
        <v>359</v>
      </c>
      <c r="D271">
        <v>102906</v>
      </c>
      <c r="E271">
        <v>64.2</v>
      </c>
      <c r="F271">
        <v>19.72</v>
      </c>
      <c r="G271">
        <v>-26</v>
      </c>
      <c r="H271">
        <v>-25.3</v>
      </c>
      <c r="I271">
        <v>-24.8</v>
      </c>
      <c r="J271">
        <v>-24.2</v>
      </c>
      <c r="K271">
        <v>-23.7</v>
      </c>
      <c r="L271">
        <v>-23.5</v>
      </c>
      <c r="M271">
        <v>-22.9</v>
      </c>
      <c r="N271">
        <v>-22.5</v>
      </c>
      <c r="O271">
        <v>-22.3</v>
      </c>
      <c r="P271">
        <v>-21.9</v>
      </c>
      <c r="Q271">
        <v>-21.7</v>
      </c>
      <c r="R271">
        <v>-21.5</v>
      </c>
      <c r="S271">
        <v>1.5</v>
      </c>
      <c r="T271">
        <f t="shared" si="4"/>
        <v>1.5</v>
      </c>
      <c r="U271" s="41" t="s">
        <v>359</v>
      </c>
    </row>
    <row r="272" spans="2:21">
      <c r="B272" t="s">
        <v>422</v>
      </c>
      <c r="C272" t="s">
        <v>422</v>
      </c>
      <c r="D272">
        <v>102246</v>
      </c>
      <c r="E272">
        <v>58.03</v>
      </c>
      <c r="F272">
        <v>12.8</v>
      </c>
      <c r="G272">
        <v>-15.6</v>
      </c>
      <c r="H272">
        <v>-15.2</v>
      </c>
      <c r="I272">
        <v>-14.2</v>
      </c>
      <c r="J272">
        <v>-14.1</v>
      </c>
      <c r="K272">
        <v>-13.8</v>
      </c>
      <c r="L272">
        <v>-13.4</v>
      </c>
      <c r="M272">
        <v>-13.4</v>
      </c>
      <c r="N272">
        <v>-13.2</v>
      </c>
      <c r="O272">
        <v>-12.8</v>
      </c>
      <c r="P272">
        <v>-12.3</v>
      </c>
      <c r="Q272">
        <v>-12</v>
      </c>
      <c r="R272">
        <v>-11.6</v>
      </c>
      <c r="S272">
        <v>1</v>
      </c>
      <c r="T272">
        <f t="shared" si="4"/>
        <v>1</v>
      </c>
      <c r="U272" s="41" t="s">
        <v>422</v>
      </c>
    </row>
    <row r="273" spans="1:21">
      <c r="B273" t="s">
        <v>542</v>
      </c>
      <c r="C273" t="s">
        <v>542</v>
      </c>
      <c r="D273">
        <v>102211</v>
      </c>
      <c r="E273">
        <v>58.37</v>
      </c>
      <c r="F273">
        <v>12.32</v>
      </c>
      <c r="G273">
        <v>-15.1</v>
      </c>
      <c r="H273">
        <v>-14.3</v>
      </c>
      <c r="I273">
        <v>-13.9</v>
      </c>
      <c r="J273">
        <v>-13.5</v>
      </c>
      <c r="K273">
        <v>-13.2</v>
      </c>
      <c r="L273">
        <v>-13.1</v>
      </c>
      <c r="M273">
        <v>-13</v>
      </c>
      <c r="N273">
        <v>-12.8</v>
      </c>
      <c r="O273">
        <v>-12.4</v>
      </c>
      <c r="P273">
        <v>-12.1</v>
      </c>
      <c r="Q273">
        <v>-11.6</v>
      </c>
      <c r="R273">
        <v>-11.4</v>
      </c>
      <c r="S273">
        <v>1</v>
      </c>
      <c r="T273">
        <f t="shared" si="4"/>
        <v>1</v>
      </c>
      <c r="U273" s="41" t="s">
        <v>542</v>
      </c>
    </row>
    <row r="274" spans="1:21">
      <c r="B274" t="s">
        <v>357</v>
      </c>
      <c r="C274" t="s">
        <v>357</v>
      </c>
      <c r="D274">
        <v>102904</v>
      </c>
      <c r="E274">
        <v>63.9</v>
      </c>
      <c r="F274">
        <v>19.75</v>
      </c>
      <c r="G274">
        <v>-24.3</v>
      </c>
      <c r="H274">
        <v>-23.8</v>
      </c>
      <c r="I274">
        <v>-22.7</v>
      </c>
      <c r="J274">
        <v>-22.2</v>
      </c>
      <c r="K274">
        <v>-22</v>
      </c>
      <c r="L274">
        <v>-21.6</v>
      </c>
      <c r="M274">
        <v>-21.1</v>
      </c>
      <c r="N274">
        <v>-21</v>
      </c>
      <c r="O274">
        <v>-20.8</v>
      </c>
      <c r="P274">
        <v>-20.399999999999999</v>
      </c>
      <c r="Q274">
        <v>-20</v>
      </c>
      <c r="R274">
        <v>-19.7</v>
      </c>
      <c r="S274">
        <v>1.4</v>
      </c>
      <c r="T274">
        <f t="shared" si="4"/>
        <v>1.4</v>
      </c>
      <c r="U274" s="41" t="s">
        <v>357</v>
      </c>
    </row>
    <row r="275" spans="1:21">
      <c r="B275" t="s">
        <v>271</v>
      </c>
      <c r="C275" t="s">
        <v>271</v>
      </c>
      <c r="D275">
        <v>102318</v>
      </c>
      <c r="E275">
        <v>57.19</v>
      </c>
      <c r="F275">
        <v>14.05</v>
      </c>
      <c r="G275">
        <v>-16.100000000000001</v>
      </c>
      <c r="H275">
        <v>-14.8</v>
      </c>
      <c r="I275">
        <v>-14.4</v>
      </c>
      <c r="J275">
        <v>-13.8</v>
      </c>
      <c r="K275">
        <v>-13.3</v>
      </c>
      <c r="L275">
        <v>-13.2</v>
      </c>
      <c r="M275">
        <v>-13.2</v>
      </c>
      <c r="N275">
        <v>-13.2</v>
      </c>
      <c r="O275">
        <v>-12.9</v>
      </c>
      <c r="P275">
        <v>-12.6</v>
      </c>
      <c r="Q275">
        <v>-12.1</v>
      </c>
      <c r="R275">
        <v>-11.9</v>
      </c>
      <c r="S275">
        <v>1</v>
      </c>
      <c r="T275">
        <f t="shared" si="4"/>
        <v>1</v>
      </c>
      <c r="U275" s="41" t="s">
        <v>271</v>
      </c>
    </row>
    <row r="276" spans="1:21">
      <c r="B276" t="s">
        <v>282</v>
      </c>
      <c r="C276" t="s">
        <v>282</v>
      </c>
      <c r="D276">
        <v>102329</v>
      </c>
      <c r="E276">
        <v>57.76</v>
      </c>
      <c r="F276">
        <v>16.64</v>
      </c>
      <c r="G276">
        <v>-13.8</v>
      </c>
      <c r="H276">
        <v>-12.9</v>
      </c>
      <c r="I276">
        <v>-12.4</v>
      </c>
      <c r="J276">
        <v>-11.8</v>
      </c>
      <c r="K276">
        <v>-11.7</v>
      </c>
      <c r="L276">
        <v>-11.6</v>
      </c>
      <c r="M276">
        <v>-11.6</v>
      </c>
      <c r="N276">
        <v>-11.2</v>
      </c>
      <c r="O276">
        <v>-11</v>
      </c>
      <c r="P276">
        <v>-10.5</v>
      </c>
      <c r="Q276">
        <v>-10.199999999999999</v>
      </c>
      <c r="R276">
        <v>-10.1</v>
      </c>
      <c r="S276">
        <v>0.9</v>
      </c>
      <c r="T276">
        <f t="shared" si="4"/>
        <v>0.9</v>
      </c>
      <c r="U276" s="41" t="s">
        <v>282</v>
      </c>
    </row>
    <row r="277" spans="1:21">
      <c r="B277" t="s">
        <v>376</v>
      </c>
      <c r="C277" t="s">
        <v>376</v>
      </c>
      <c r="D277">
        <v>102605</v>
      </c>
      <c r="E277">
        <v>59.61</v>
      </c>
      <c r="F277">
        <v>16.54</v>
      </c>
      <c r="G277">
        <v>-18.399999999999999</v>
      </c>
      <c r="H277">
        <v>-18</v>
      </c>
      <c r="I277">
        <v>-17.3</v>
      </c>
      <c r="J277">
        <v>-16.600000000000001</v>
      </c>
      <c r="K277">
        <v>-16.3</v>
      </c>
      <c r="L277">
        <v>-15.7</v>
      </c>
      <c r="M277">
        <v>-15.5</v>
      </c>
      <c r="N277">
        <v>-15.3</v>
      </c>
      <c r="O277">
        <v>-15</v>
      </c>
      <c r="P277">
        <v>-14.8</v>
      </c>
      <c r="Q277">
        <v>-14.6</v>
      </c>
      <c r="R277">
        <v>-14.5</v>
      </c>
      <c r="S277">
        <v>1</v>
      </c>
      <c r="T277">
        <f t="shared" si="4"/>
        <v>1</v>
      </c>
      <c r="U277" s="41" t="s">
        <v>376</v>
      </c>
    </row>
    <row r="278" spans="1:21">
      <c r="B278" t="s">
        <v>323</v>
      </c>
      <c r="C278" t="s">
        <v>323</v>
      </c>
      <c r="D278">
        <v>102102</v>
      </c>
      <c r="E278">
        <v>55.43</v>
      </c>
      <c r="F278">
        <v>13.82</v>
      </c>
      <c r="G278">
        <v>-10.8</v>
      </c>
      <c r="H278">
        <v>-10.1</v>
      </c>
      <c r="I278">
        <v>-9.6</v>
      </c>
      <c r="J278">
        <v>-9.4</v>
      </c>
      <c r="K278">
        <v>-9.1</v>
      </c>
      <c r="L278">
        <v>-8.6999999999999993</v>
      </c>
      <c r="M278">
        <v>-8.6999999999999993</v>
      </c>
      <c r="N278">
        <v>-8.4</v>
      </c>
      <c r="O278">
        <v>-8.3000000000000007</v>
      </c>
      <c r="P278">
        <v>-8.1</v>
      </c>
      <c r="Q278">
        <v>-7.8</v>
      </c>
      <c r="R278">
        <v>-7.7</v>
      </c>
      <c r="S278">
        <v>0.9</v>
      </c>
      <c r="T278">
        <f t="shared" si="4"/>
        <v>0.9</v>
      </c>
      <c r="U278" s="41" t="s">
        <v>323</v>
      </c>
    </row>
    <row r="279" spans="1:21">
      <c r="B279" t="s">
        <v>423</v>
      </c>
      <c r="C279" t="s">
        <v>423</v>
      </c>
      <c r="D279">
        <v>102224</v>
      </c>
      <c r="E279">
        <v>59.05</v>
      </c>
      <c r="F279">
        <v>12.7</v>
      </c>
      <c r="G279">
        <v>-17.2</v>
      </c>
      <c r="H279">
        <v>-16.7</v>
      </c>
      <c r="I279">
        <v>-16.3</v>
      </c>
      <c r="J279">
        <v>-15.9</v>
      </c>
      <c r="K279">
        <v>-15.3</v>
      </c>
      <c r="L279">
        <v>-14.9</v>
      </c>
      <c r="M279">
        <v>-14.9</v>
      </c>
      <c r="N279">
        <v>-14.7</v>
      </c>
      <c r="O279">
        <v>-14.6</v>
      </c>
      <c r="P279">
        <v>-14.1</v>
      </c>
      <c r="Q279">
        <v>-13.8</v>
      </c>
      <c r="R279">
        <v>-13.6</v>
      </c>
      <c r="S279">
        <v>1</v>
      </c>
      <c r="T279">
        <f t="shared" si="4"/>
        <v>1</v>
      </c>
      <c r="U279" s="41" t="s">
        <v>423</v>
      </c>
    </row>
    <row r="280" spans="1:21">
      <c r="B280" t="s">
        <v>371</v>
      </c>
      <c r="C280" t="s">
        <v>371</v>
      </c>
      <c r="D280">
        <v>102804</v>
      </c>
      <c r="E280">
        <v>62.52</v>
      </c>
      <c r="F280">
        <v>15.66</v>
      </c>
      <c r="G280">
        <v>-26.6</v>
      </c>
      <c r="H280">
        <v>-26.1</v>
      </c>
      <c r="I280">
        <v>-25.4</v>
      </c>
      <c r="J280">
        <v>-24.3</v>
      </c>
      <c r="K280">
        <v>-23.5</v>
      </c>
      <c r="L280">
        <v>-22.4</v>
      </c>
      <c r="M280">
        <v>-21.9</v>
      </c>
      <c r="N280">
        <v>-21.6</v>
      </c>
      <c r="O280">
        <v>-21.2</v>
      </c>
      <c r="P280">
        <v>-20.8</v>
      </c>
      <c r="Q280">
        <v>-20.399999999999999</v>
      </c>
      <c r="R280">
        <v>-20.399999999999999</v>
      </c>
      <c r="S280">
        <v>1.4</v>
      </c>
      <c r="T280">
        <f t="shared" si="4"/>
        <v>1.4</v>
      </c>
      <c r="U280" s="41" t="s">
        <v>371</v>
      </c>
    </row>
    <row r="281" spans="1:21">
      <c r="B281" t="s">
        <v>262</v>
      </c>
      <c r="C281" t="s">
        <v>262</v>
      </c>
      <c r="D281">
        <v>102809</v>
      </c>
      <c r="E281">
        <v>63.41</v>
      </c>
      <c r="F281">
        <v>13.07</v>
      </c>
      <c r="G281">
        <v>-22.4</v>
      </c>
      <c r="H281">
        <v>-21.9</v>
      </c>
      <c r="I281">
        <v>-21.1</v>
      </c>
      <c r="J281">
        <v>-20.6</v>
      </c>
      <c r="K281">
        <v>-19.8</v>
      </c>
      <c r="L281">
        <v>-18.899999999999999</v>
      </c>
      <c r="M281">
        <v>-18.2</v>
      </c>
      <c r="N281">
        <v>-17.899999999999999</v>
      </c>
      <c r="O281">
        <v>-17.3</v>
      </c>
      <c r="P281">
        <v>-17.2</v>
      </c>
      <c r="Q281">
        <v>-16.8</v>
      </c>
      <c r="R281">
        <v>-16.600000000000001</v>
      </c>
      <c r="S281">
        <v>1.6</v>
      </c>
      <c r="T281">
        <f t="shared" si="4"/>
        <v>1.6</v>
      </c>
      <c r="U281" s="41" t="s">
        <v>262</v>
      </c>
    </row>
    <row r="282" spans="1:21">
      <c r="B282" t="s">
        <v>350</v>
      </c>
      <c r="C282" t="s">
        <v>350</v>
      </c>
      <c r="D282">
        <v>102501</v>
      </c>
      <c r="E282">
        <v>59.39</v>
      </c>
      <c r="F282">
        <v>12.14</v>
      </c>
      <c r="G282">
        <v>-19</v>
      </c>
      <c r="H282">
        <v>-18.899999999999999</v>
      </c>
      <c r="I282">
        <v>-18.399999999999999</v>
      </c>
      <c r="J282">
        <v>-17.600000000000001</v>
      </c>
      <c r="K282">
        <v>-17.2</v>
      </c>
      <c r="L282">
        <v>-16.899999999999999</v>
      </c>
      <c r="M282">
        <v>-16.899999999999999</v>
      </c>
      <c r="N282">
        <v>-16.600000000000001</v>
      </c>
      <c r="O282">
        <v>-16.3</v>
      </c>
      <c r="P282">
        <v>-16.100000000000001</v>
      </c>
      <c r="Q282">
        <v>-15.9</v>
      </c>
      <c r="R282">
        <v>-15.6</v>
      </c>
      <c r="S282">
        <v>1.1000000000000001</v>
      </c>
      <c r="T282">
        <f t="shared" si="4"/>
        <v>1.1000000000000001</v>
      </c>
      <c r="U282" s="41" t="s">
        <v>350</v>
      </c>
    </row>
    <row r="283" spans="1:21">
      <c r="A283" t="s">
        <v>471</v>
      </c>
      <c r="B283" s="84" t="s">
        <v>360</v>
      </c>
      <c r="C283" t="s">
        <v>471</v>
      </c>
      <c r="D283">
        <v>102903</v>
      </c>
      <c r="E283">
        <v>64.069999999999993</v>
      </c>
      <c r="F283">
        <v>18.37</v>
      </c>
      <c r="G283">
        <v>-28.1</v>
      </c>
      <c r="H283">
        <v>-26.8</v>
      </c>
      <c r="I283">
        <v>-26.3</v>
      </c>
      <c r="J283">
        <v>-25.2</v>
      </c>
      <c r="K283">
        <v>-24.5</v>
      </c>
      <c r="L283">
        <v>-24.2</v>
      </c>
      <c r="M283">
        <v>-23.9</v>
      </c>
      <c r="N283">
        <v>-23.5</v>
      </c>
      <c r="O283">
        <v>-23.3</v>
      </c>
      <c r="P283">
        <v>-23.2</v>
      </c>
      <c r="Q283">
        <v>-22.9</v>
      </c>
      <c r="R283">
        <v>-22.7</v>
      </c>
      <c r="S283">
        <v>1.5</v>
      </c>
      <c r="T283">
        <f t="shared" si="4"/>
        <v>1.5</v>
      </c>
      <c r="U283" s="41" t="s">
        <v>360</v>
      </c>
    </row>
    <row r="284" spans="1:21">
      <c r="B284" t="s">
        <v>324</v>
      </c>
      <c r="C284" t="s">
        <v>324</v>
      </c>
      <c r="D284">
        <v>102140</v>
      </c>
      <c r="E284">
        <v>56.13</v>
      </c>
      <c r="F284">
        <v>12.95</v>
      </c>
      <c r="G284">
        <v>-11.4</v>
      </c>
      <c r="H284">
        <v>-10.8</v>
      </c>
      <c r="I284">
        <v>-9.9</v>
      </c>
      <c r="J284">
        <v>-9.9</v>
      </c>
      <c r="K284">
        <v>-9.6999999999999993</v>
      </c>
      <c r="L284">
        <v>-9.6</v>
      </c>
      <c r="M284">
        <v>-9.6</v>
      </c>
      <c r="N284">
        <v>-9.1</v>
      </c>
      <c r="O284">
        <v>-9.1</v>
      </c>
      <c r="P284">
        <v>-8.9</v>
      </c>
      <c r="Q284">
        <v>-8.5</v>
      </c>
      <c r="R284">
        <v>-8.4</v>
      </c>
      <c r="S284">
        <v>0.9</v>
      </c>
      <c r="T284">
        <f t="shared" si="4"/>
        <v>0.9</v>
      </c>
      <c r="U284" s="41" t="s">
        <v>324</v>
      </c>
    </row>
    <row r="285" spans="1:21">
      <c r="B285" t="s">
        <v>239</v>
      </c>
      <c r="C285" t="s">
        <v>239</v>
      </c>
      <c r="D285">
        <v>102715</v>
      </c>
      <c r="E285">
        <v>61.22</v>
      </c>
      <c r="F285">
        <v>14.05</v>
      </c>
      <c r="G285">
        <v>-25.7</v>
      </c>
      <c r="H285">
        <v>-24.7</v>
      </c>
      <c r="I285">
        <v>-23.7</v>
      </c>
      <c r="J285">
        <v>-23</v>
      </c>
      <c r="K285">
        <v>-22.7</v>
      </c>
      <c r="L285">
        <v>-21.9</v>
      </c>
      <c r="M285">
        <v>-21.7</v>
      </c>
      <c r="N285">
        <v>-21.6</v>
      </c>
      <c r="O285">
        <v>-21.4</v>
      </c>
      <c r="P285">
        <v>-20.8</v>
      </c>
      <c r="Q285">
        <v>-20.7</v>
      </c>
      <c r="R285">
        <v>-20.399999999999999</v>
      </c>
      <c r="S285">
        <v>1.3</v>
      </c>
      <c r="T285">
        <f t="shared" si="4"/>
        <v>1.3</v>
      </c>
      <c r="U285" s="180" t="s">
        <v>239</v>
      </c>
    </row>
    <row r="286" spans="1:21">
      <c r="B286" t="s">
        <v>289</v>
      </c>
      <c r="C286" t="s">
        <v>289</v>
      </c>
      <c r="D286">
        <v>102003</v>
      </c>
      <c r="E286">
        <v>65.680000000000007</v>
      </c>
      <c r="F286">
        <v>21.01</v>
      </c>
      <c r="G286">
        <v>-30</v>
      </c>
      <c r="H286">
        <v>-29.2</v>
      </c>
      <c r="I286">
        <v>-28.3</v>
      </c>
      <c r="J286">
        <v>-27.1</v>
      </c>
      <c r="K286">
        <v>-26.7</v>
      </c>
      <c r="L286">
        <v>-26.3</v>
      </c>
      <c r="M286">
        <v>-25.8</v>
      </c>
      <c r="N286">
        <v>-25.3</v>
      </c>
      <c r="O286">
        <v>-24.8</v>
      </c>
      <c r="P286">
        <v>-24.7</v>
      </c>
      <c r="Q286">
        <v>-24.4</v>
      </c>
      <c r="R286">
        <v>-24.1</v>
      </c>
      <c r="S286">
        <v>1.5</v>
      </c>
      <c r="T286">
        <f t="shared" si="4"/>
        <v>1.5</v>
      </c>
      <c r="U286" s="41" t="s">
        <v>289</v>
      </c>
    </row>
    <row r="287" spans="1:21">
      <c r="B287" t="s">
        <v>548</v>
      </c>
      <c r="C287" t="s">
        <v>548</v>
      </c>
      <c r="D287">
        <v>102111</v>
      </c>
      <c r="E287">
        <v>56.25</v>
      </c>
      <c r="F287">
        <v>12.87</v>
      </c>
      <c r="G287">
        <v>-11.1</v>
      </c>
      <c r="H287">
        <v>-10.7</v>
      </c>
      <c r="I287">
        <v>-9.8000000000000007</v>
      </c>
      <c r="J287">
        <v>-9.8000000000000007</v>
      </c>
      <c r="K287">
        <v>-9.6</v>
      </c>
      <c r="L287">
        <v>-9.6</v>
      </c>
      <c r="M287">
        <v>-9.6</v>
      </c>
      <c r="N287">
        <v>-9.1999999999999993</v>
      </c>
      <c r="O287">
        <v>-9.1999999999999993</v>
      </c>
      <c r="P287">
        <v>-8.8000000000000007</v>
      </c>
      <c r="Q287">
        <v>-8.5</v>
      </c>
      <c r="R287">
        <v>-8.3000000000000007</v>
      </c>
      <c r="S287">
        <v>0.9</v>
      </c>
      <c r="T287">
        <f t="shared" si="4"/>
        <v>0.9</v>
      </c>
      <c r="U287" s="41" t="s">
        <v>548</v>
      </c>
    </row>
    <row r="288" spans="1:21">
      <c r="B288" t="s">
        <v>394</v>
      </c>
      <c r="C288" t="s">
        <v>394</v>
      </c>
      <c r="D288">
        <v>102236</v>
      </c>
      <c r="E288">
        <v>57.71</v>
      </c>
      <c r="F288">
        <v>11.65</v>
      </c>
      <c r="G288">
        <v>-11.5</v>
      </c>
      <c r="H288">
        <v>-10.9</v>
      </c>
      <c r="I288">
        <v>-10.3</v>
      </c>
      <c r="J288">
        <v>-10.199999999999999</v>
      </c>
      <c r="K288">
        <v>-9.6999999999999993</v>
      </c>
      <c r="L288">
        <v>-9.6999999999999993</v>
      </c>
      <c r="M288">
        <v>-9.4</v>
      </c>
      <c r="N288">
        <v>-9.4</v>
      </c>
      <c r="O288">
        <v>-9.4</v>
      </c>
      <c r="P288">
        <v>-9</v>
      </c>
      <c r="Q288">
        <v>-8.8000000000000007</v>
      </c>
      <c r="R288">
        <v>-8.5</v>
      </c>
      <c r="S288">
        <v>0.9</v>
      </c>
      <c r="T288">
        <f t="shared" si="4"/>
        <v>0.9</v>
      </c>
      <c r="U288" s="41" t="s">
        <v>394</v>
      </c>
    </row>
    <row r="289" spans="2:22">
      <c r="B289" t="s">
        <v>110</v>
      </c>
      <c r="C289" t="s">
        <v>110</v>
      </c>
      <c r="D289">
        <v>102514</v>
      </c>
      <c r="E289">
        <v>59.27</v>
      </c>
      <c r="F289">
        <v>15.21</v>
      </c>
      <c r="G289">
        <v>-18.100000000000001</v>
      </c>
      <c r="H289">
        <v>-17.3</v>
      </c>
      <c r="I289">
        <v>-16.399999999999999</v>
      </c>
      <c r="J289">
        <v>-15.8</v>
      </c>
      <c r="K289">
        <v>-15.2</v>
      </c>
      <c r="L289">
        <v>-15.2</v>
      </c>
      <c r="M289">
        <v>-15</v>
      </c>
      <c r="N289">
        <v>-14.8</v>
      </c>
      <c r="O289">
        <v>-14.2</v>
      </c>
      <c r="P289">
        <v>-13.9</v>
      </c>
      <c r="Q289">
        <v>-13.5</v>
      </c>
      <c r="R289">
        <v>-13.4</v>
      </c>
      <c r="S289">
        <v>1</v>
      </c>
      <c r="T289">
        <f t="shared" si="4"/>
        <v>1</v>
      </c>
      <c r="U289" s="41" t="s">
        <v>110</v>
      </c>
    </row>
    <row r="290" spans="2:22">
      <c r="B290" t="s">
        <v>327</v>
      </c>
      <c r="C290" t="s">
        <v>327</v>
      </c>
      <c r="D290">
        <v>102131</v>
      </c>
      <c r="E290">
        <v>56.28</v>
      </c>
      <c r="F290">
        <v>13.28</v>
      </c>
      <c r="G290">
        <v>-13.5</v>
      </c>
      <c r="H290">
        <v>-12.6</v>
      </c>
      <c r="I290">
        <v>-11.7</v>
      </c>
      <c r="J290">
        <v>-11.7</v>
      </c>
      <c r="K290">
        <v>-11.4</v>
      </c>
      <c r="L290">
        <v>-11.4</v>
      </c>
      <c r="M290">
        <v>-11.4</v>
      </c>
      <c r="N290">
        <v>-11</v>
      </c>
      <c r="O290">
        <v>-10.9</v>
      </c>
      <c r="P290">
        <v>-10.7</v>
      </c>
      <c r="Q290">
        <v>-10.5</v>
      </c>
      <c r="R290">
        <v>-10.3</v>
      </c>
      <c r="S290">
        <v>1</v>
      </c>
      <c r="T290">
        <f t="shared" si="4"/>
        <v>1</v>
      </c>
      <c r="U290" s="41" t="s">
        <v>327</v>
      </c>
    </row>
    <row r="291" spans="2:22">
      <c r="B291" t="s">
        <v>369</v>
      </c>
      <c r="C291" t="s">
        <v>369</v>
      </c>
      <c r="D291">
        <v>102816</v>
      </c>
      <c r="E291">
        <v>63.28</v>
      </c>
      <c r="F291">
        <v>18.690000000000001</v>
      </c>
      <c r="G291">
        <v>-23</v>
      </c>
      <c r="H291">
        <v>-22.4</v>
      </c>
      <c r="I291">
        <v>-21.2</v>
      </c>
      <c r="J291">
        <v>-20.5</v>
      </c>
      <c r="K291">
        <v>-19.899999999999999</v>
      </c>
      <c r="L291">
        <v>-19.7</v>
      </c>
      <c r="M291">
        <v>-19.2</v>
      </c>
      <c r="N291">
        <v>-19</v>
      </c>
      <c r="O291">
        <v>-18.7</v>
      </c>
      <c r="P291">
        <v>-18.399999999999999</v>
      </c>
      <c r="Q291">
        <v>-17.899999999999999</v>
      </c>
      <c r="R291">
        <v>-17.8</v>
      </c>
      <c r="S291">
        <v>1.3</v>
      </c>
      <c r="T291">
        <f t="shared" si="4"/>
        <v>1.3</v>
      </c>
      <c r="U291" s="41" t="s">
        <v>369</v>
      </c>
    </row>
    <row r="292" spans="2:22">
      <c r="B292" t="s">
        <v>258</v>
      </c>
      <c r="C292" t="s">
        <v>258</v>
      </c>
      <c r="D292">
        <v>102810</v>
      </c>
      <c r="E292">
        <v>63.18</v>
      </c>
      <c r="F292">
        <v>14.63</v>
      </c>
      <c r="G292">
        <v>-24.6</v>
      </c>
      <c r="H292">
        <v>-23.8</v>
      </c>
      <c r="I292">
        <v>-22.9</v>
      </c>
      <c r="J292">
        <v>-22.2</v>
      </c>
      <c r="K292">
        <v>-21.1</v>
      </c>
      <c r="L292">
        <v>-20.5</v>
      </c>
      <c r="M292">
        <v>-19.7</v>
      </c>
      <c r="N292">
        <v>-19.399999999999999</v>
      </c>
      <c r="O292">
        <v>-18.5</v>
      </c>
      <c r="P292">
        <v>-18.3</v>
      </c>
      <c r="Q292">
        <v>-18</v>
      </c>
      <c r="R292">
        <v>-17.8</v>
      </c>
      <c r="S292">
        <v>1.4</v>
      </c>
      <c r="T292">
        <f t="shared" si="4"/>
        <v>1.4</v>
      </c>
      <c r="U292" s="41" t="s">
        <v>258</v>
      </c>
    </row>
    <row r="293" spans="2:22">
      <c r="B293" t="s">
        <v>337</v>
      </c>
      <c r="C293" t="s">
        <v>337</v>
      </c>
      <c r="D293">
        <v>102620</v>
      </c>
      <c r="E293">
        <v>60.26</v>
      </c>
      <c r="F293">
        <v>18.37</v>
      </c>
      <c r="G293">
        <v>-16.5</v>
      </c>
      <c r="H293">
        <v>-15.9</v>
      </c>
      <c r="I293">
        <v>-15.2</v>
      </c>
      <c r="J293">
        <v>-14.4</v>
      </c>
      <c r="K293">
        <v>-14.2</v>
      </c>
      <c r="L293">
        <v>-13.9</v>
      </c>
      <c r="M293">
        <v>-13.7</v>
      </c>
      <c r="N293">
        <v>-13.6</v>
      </c>
      <c r="O293">
        <v>-13.3</v>
      </c>
      <c r="P293">
        <v>-13.1</v>
      </c>
      <c r="Q293">
        <v>-13.1</v>
      </c>
      <c r="R293">
        <v>-13</v>
      </c>
      <c r="S293">
        <v>1.1000000000000001</v>
      </c>
      <c r="T293">
        <f t="shared" si="4"/>
        <v>1.1000000000000001</v>
      </c>
      <c r="U293" s="41" t="s">
        <v>337</v>
      </c>
    </row>
    <row r="294" spans="2:22">
      <c r="B294" t="s">
        <v>291</v>
      </c>
      <c r="C294" t="s">
        <v>291</v>
      </c>
      <c r="D294">
        <v>102009</v>
      </c>
      <c r="E294">
        <v>66.319999999999993</v>
      </c>
      <c r="F294">
        <v>22.85</v>
      </c>
      <c r="G294">
        <v>-29.5</v>
      </c>
      <c r="H294">
        <v>-28.6</v>
      </c>
      <c r="I294">
        <v>-27.8</v>
      </c>
      <c r="J294">
        <v>-26.7</v>
      </c>
      <c r="K294">
        <v>-26.1</v>
      </c>
      <c r="L294">
        <v>-25.7</v>
      </c>
      <c r="M294">
        <v>-25.3</v>
      </c>
      <c r="N294">
        <v>-25.1</v>
      </c>
      <c r="O294">
        <v>-24.8</v>
      </c>
      <c r="P294">
        <v>-24.6</v>
      </c>
      <c r="Q294">
        <v>-24.5</v>
      </c>
      <c r="R294">
        <v>-24.3</v>
      </c>
      <c r="S294">
        <v>1.6</v>
      </c>
      <c r="T294">
        <f t="shared" si="4"/>
        <v>1.6</v>
      </c>
      <c r="U294" s="41" t="s">
        <v>291</v>
      </c>
    </row>
    <row r="295" spans="2:22">
      <c r="B295" t="s">
        <v>292</v>
      </c>
      <c r="C295" t="s">
        <v>292</v>
      </c>
      <c r="D295">
        <v>102024</v>
      </c>
      <c r="E295">
        <v>66.38</v>
      </c>
      <c r="F295">
        <v>23.67</v>
      </c>
      <c r="G295">
        <v>-29.2</v>
      </c>
      <c r="H295">
        <v>-28.6</v>
      </c>
      <c r="I295">
        <v>-27.8</v>
      </c>
      <c r="J295">
        <v>-26.9</v>
      </c>
      <c r="K295">
        <v>-25.9</v>
      </c>
      <c r="L295">
        <v>-25.7</v>
      </c>
      <c r="M295">
        <v>-25.2</v>
      </c>
      <c r="N295">
        <v>-24.9</v>
      </c>
      <c r="O295">
        <v>-24.6</v>
      </c>
      <c r="P295">
        <v>-24.4</v>
      </c>
      <c r="Q295">
        <v>-24.4</v>
      </c>
      <c r="R295">
        <v>-24.2</v>
      </c>
      <c r="S295">
        <v>1.6</v>
      </c>
      <c r="T295">
        <f t="shared" si="4"/>
        <v>1.6</v>
      </c>
      <c r="U295" s="41" t="s">
        <v>292</v>
      </c>
    </row>
    <row r="297" spans="2:22">
      <c r="C297" t="s">
        <v>585</v>
      </c>
    </row>
    <row r="298" spans="2:22">
      <c r="C298" s="182" t="s">
        <v>468</v>
      </c>
      <c r="D298">
        <v>102631</v>
      </c>
      <c r="E298">
        <v>60.24</v>
      </c>
      <c r="F298">
        <v>17.91</v>
      </c>
      <c r="G298">
        <v>-17.899999999999999</v>
      </c>
      <c r="H298">
        <v>-17.100000000000001</v>
      </c>
      <c r="I298">
        <v>-16.399999999999999</v>
      </c>
      <c r="J298">
        <v>-15.8</v>
      </c>
      <c r="K298">
        <v>-15.4</v>
      </c>
      <c r="L298">
        <v>-15.1</v>
      </c>
      <c r="M298">
        <v>-14.9</v>
      </c>
      <c r="N298">
        <v>-14.8</v>
      </c>
      <c r="O298">
        <v>-14.7</v>
      </c>
      <c r="P298">
        <v>-14.6</v>
      </c>
      <c r="Q298">
        <v>-14.2</v>
      </c>
      <c r="R298">
        <v>-14.1</v>
      </c>
      <c r="T298" t="e">
        <f t="shared" ref="T298:T310" si="5">VALUE(VLOOKUP(C298,FgeoVlookup,2,FALSE))</f>
        <v>#N/A</v>
      </c>
      <c r="U298" s="41"/>
      <c r="V298" t="s">
        <v>572</v>
      </c>
    </row>
    <row r="299" spans="2:22">
      <c r="C299" s="182" t="s">
        <v>551</v>
      </c>
      <c r="D299">
        <v>102522</v>
      </c>
      <c r="E299">
        <v>60.35</v>
      </c>
      <c r="F299">
        <v>12.65</v>
      </c>
      <c r="G299">
        <v>-23.8</v>
      </c>
      <c r="H299">
        <v>-23.2</v>
      </c>
      <c r="I299">
        <v>-22.3</v>
      </c>
      <c r="J299">
        <v>-21.6</v>
      </c>
      <c r="K299">
        <v>-21.1</v>
      </c>
      <c r="L299">
        <v>-20.6</v>
      </c>
      <c r="M299">
        <v>-20.2</v>
      </c>
      <c r="N299">
        <v>-20.100000000000001</v>
      </c>
      <c r="O299">
        <v>-19.8</v>
      </c>
      <c r="P299">
        <v>-19.8</v>
      </c>
      <c r="Q299">
        <v>-19.2</v>
      </c>
      <c r="R299">
        <v>-19.100000000000001</v>
      </c>
      <c r="T299" t="e">
        <f t="shared" si="5"/>
        <v>#N/A</v>
      </c>
      <c r="V299" t="s">
        <v>561</v>
      </c>
    </row>
    <row r="300" spans="2:22">
      <c r="C300" s="182" t="s">
        <v>531</v>
      </c>
      <c r="D300">
        <v>102618</v>
      </c>
      <c r="E300">
        <v>60.16</v>
      </c>
      <c r="F300">
        <v>16.920000000000002</v>
      </c>
      <c r="G300">
        <v>-19.100000000000001</v>
      </c>
      <c r="H300">
        <v>-18.899999999999999</v>
      </c>
      <c r="I300">
        <v>-17.8</v>
      </c>
      <c r="J300">
        <v>-17.100000000000001</v>
      </c>
      <c r="K300">
        <v>-17</v>
      </c>
      <c r="L300">
        <v>-16.399999999999999</v>
      </c>
      <c r="M300">
        <v>-16.100000000000001</v>
      </c>
      <c r="N300">
        <v>-16.100000000000001</v>
      </c>
      <c r="O300">
        <v>-16.100000000000001</v>
      </c>
      <c r="P300">
        <v>-16.100000000000001</v>
      </c>
      <c r="Q300">
        <v>-15.9</v>
      </c>
      <c r="R300">
        <v>-15.5</v>
      </c>
      <c r="T300" t="e">
        <f t="shared" si="5"/>
        <v>#N/A</v>
      </c>
      <c r="U300" s="41"/>
      <c r="V300" t="s">
        <v>562</v>
      </c>
    </row>
    <row r="301" spans="2:22">
      <c r="C301" s="182" t="s">
        <v>522</v>
      </c>
      <c r="D301">
        <v>102713</v>
      </c>
      <c r="E301">
        <v>61.71</v>
      </c>
      <c r="F301">
        <v>13.13</v>
      </c>
      <c r="G301">
        <v>-27.6</v>
      </c>
      <c r="H301">
        <v>-27.1</v>
      </c>
      <c r="I301">
        <v>-26.2</v>
      </c>
      <c r="J301">
        <v>-25.5</v>
      </c>
      <c r="K301">
        <v>-24.8</v>
      </c>
      <c r="L301">
        <v>-24.1</v>
      </c>
      <c r="M301">
        <v>-23.5</v>
      </c>
      <c r="N301">
        <v>-23.2</v>
      </c>
      <c r="O301">
        <v>-22.9</v>
      </c>
      <c r="P301">
        <v>-22.7</v>
      </c>
      <c r="Q301">
        <v>-22.4</v>
      </c>
      <c r="R301">
        <v>-22.4</v>
      </c>
      <c r="T301" t="e">
        <f t="shared" si="5"/>
        <v>#N/A</v>
      </c>
      <c r="U301" s="41"/>
      <c r="V301" t="s">
        <v>565</v>
      </c>
    </row>
    <row r="302" spans="2:22">
      <c r="C302" s="182" t="s">
        <v>113</v>
      </c>
      <c r="D302">
        <v>102518</v>
      </c>
      <c r="E302">
        <v>58.44</v>
      </c>
      <c r="F302">
        <v>12.71</v>
      </c>
      <c r="G302">
        <v>-15</v>
      </c>
      <c r="H302">
        <v>-14.4</v>
      </c>
      <c r="I302">
        <v>-13.5</v>
      </c>
      <c r="J302">
        <v>-13.2</v>
      </c>
      <c r="K302">
        <v>-12.9</v>
      </c>
      <c r="L302">
        <v>-12.6</v>
      </c>
      <c r="M302">
        <v>-12.5</v>
      </c>
      <c r="N302">
        <v>-12.3</v>
      </c>
      <c r="O302">
        <v>-12</v>
      </c>
      <c r="P302">
        <v>-11.6</v>
      </c>
      <c r="Q302">
        <v>-11.3</v>
      </c>
      <c r="R302">
        <v>-10.9</v>
      </c>
      <c r="T302" t="e">
        <f t="shared" si="5"/>
        <v>#N/A</v>
      </c>
      <c r="U302" s="41"/>
      <c r="V302" t="s">
        <v>563</v>
      </c>
    </row>
    <row r="303" spans="2:22">
      <c r="C303" s="182" t="s">
        <v>517</v>
      </c>
      <c r="D303">
        <v>102808</v>
      </c>
      <c r="E303">
        <v>63.3</v>
      </c>
      <c r="F303">
        <v>12.12</v>
      </c>
      <c r="G303">
        <v>-22.4</v>
      </c>
      <c r="H303">
        <v>-21.1</v>
      </c>
      <c r="I303">
        <v>-20.9</v>
      </c>
      <c r="J303">
        <v>-20.2</v>
      </c>
      <c r="K303">
        <v>-19.399999999999999</v>
      </c>
      <c r="L303">
        <v>-18.899999999999999</v>
      </c>
      <c r="M303">
        <v>-18.399999999999999</v>
      </c>
      <c r="N303">
        <v>-17.8</v>
      </c>
      <c r="O303">
        <v>-17.399999999999999</v>
      </c>
      <c r="P303">
        <v>-16.8</v>
      </c>
      <c r="Q303">
        <v>-16.399999999999999</v>
      </c>
      <c r="R303">
        <v>-16.100000000000001</v>
      </c>
      <c r="T303" t="e">
        <f t="shared" si="5"/>
        <v>#N/A</v>
      </c>
      <c r="U303" s="41"/>
      <c r="V303" t="s">
        <v>566</v>
      </c>
    </row>
    <row r="304" spans="2:22">
      <c r="C304" s="182" t="s">
        <v>510</v>
      </c>
      <c r="D304">
        <v>102414</v>
      </c>
      <c r="E304">
        <v>58.67</v>
      </c>
      <c r="F304">
        <v>17.100000000000001</v>
      </c>
      <c r="G304">
        <v>-14.6</v>
      </c>
      <c r="H304">
        <v>-13.7</v>
      </c>
      <c r="I304">
        <v>-13.3</v>
      </c>
      <c r="J304">
        <v>-12.7</v>
      </c>
      <c r="K304">
        <v>-12.4</v>
      </c>
      <c r="L304">
        <v>-12.1</v>
      </c>
      <c r="M304">
        <v>-11.8</v>
      </c>
      <c r="N304">
        <v>-11.7</v>
      </c>
      <c r="O304">
        <v>-11.3</v>
      </c>
      <c r="P304">
        <v>-11.1</v>
      </c>
      <c r="Q304">
        <v>-10.7</v>
      </c>
      <c r="R304">
        <v>-10.5</v>
      </c>
      <c r="T304" t="e">
        <f t="shared" si="5"/>
        <v>#N/A</v>
      </c>
      <c r="V304" s="180" t="s">
        <v>567</v>
      </c>
    </row>
    <row r="305" spans="1:23">
      <c r="C305" s="182" t="s">
        <v>511</v>
      </c>
      <c r="D305">
        <v>102011</v>
      </c>
      <c r="E305">
        <v>67.73</v>
      </c>
      <c r="F305">
        <v>17.47</v>
      </c>
      <c r="G305">
        <v>-24.9</v>
      </c>
      <c r="H305">
        <v>-24.2</v>
      </c>
      <c r="I305">
        <v>-23.7</v>
      </c>
      <c r="J305">
        <v>-23</v>
      </c>
      <c r="K305">
        <v>-22.6</v>
      </c>
      <c r="L305">
        <v>-21.9</v>
      </c>
      <c r="M305">
        <v>-21.6</v>
      </c>
      <c r="N305">
        <v>-21.2</v>
      </c>
      <c r="O305">
        <v>-20.9</v>
      </c>
      <c r="P305">
        <v>-20.7</v>
      </c>
      <c r="Q305">
        <v>-20.5</v>
      </c>
      <c r="R305">
        <v>-20.2</v>
      </c>
      <c r="T305" t="e">
        <f t="shared" si="5"/>
        <v>#N/A</v>
      </c>
      <c r="V305" t="s">
        <v>572</v>
      </c>
      <c r="W305" t="s">
        <v>552</v>
      </c>
    </row>
    <row r="306" spans="1:23">
      <c r="C306" s="182" t="s">
        <v>492</v>
      </c>
      <c r="D306">
        <v>102007</v>
      </c>
      <c r="E306">
        <v>66.959999999999994</v>
      </c>
      <c r="F306">
        <v>17.73</v>
      </c>
      <c r="G306">
        <v>-31.4</v>
      </c>
      <c r="H306">
        <v>-30.8</v>
      </c>
      <c r="I306">
        <v>-29.8</v>
      </c>
      <c r="J306">
        <v>-28.5</v>
      </c>
      <c r="K306">
        <v>-27.5</v>
      </c>
      <c r="L306">
        <v>-27.1</v>
      </c>
      <c r="M306">
        <v>-27</v>
      </c>
      <c r="N306">
        <v>-26.5</v>
      </c>
      <c r="O306">
        <v>-26.1</v>
      </c>
      <c r="P306">
        <v>-25.9</v>
      </c>
      <c r="Q306">
        <v>-25.8</v>
      </c>
      <c r="R306">
        <v>-25.6</v>
      </c>
      <c r="T306" t="e">
        <f t="shared" si="5"/>
        <v>#N/A</v>
      </c>
      <c r="V306" t="s">
        <v>572</v>
      </c>
    </row>
    <row r="307" spans="1:23">
      <c r="C307" s="182" t="s">
        <v>484</v>
      </c>
      <c r="D307">
        <v>102016</v>
      </c>
      <c r="E307">
        <v>68.44</v>
      </c>
      <c r="F307">
        <v>22.49</v>
      </c>
      <c r="G307">
        <v>-32.5</v>
      </c>
      <c r="H307">
        <v>-31.7</v>
      </c>
      <c r="I307">
        <v>-31</v>
      </c>
      <c r="J307">
        <v>-30</v>
      </c>
      <c r="K307">
        <v>-29.5</v>
      </c>
      <c r="L307">
        <v>-29.1</v>
      </c>
      <c r="M307">
        <v>-28.8</v>
      </c>
      <c r="N307">
        <v>-27.8</v>
      </c>
      <c r="O307">
        <v>-27.4</v>
      </c>
      <c r="P307">
        <v>-26.6</v>
      </c>
      <c r="Q307">
        <v>-26.5</v>
      </c>
      <c r="R307">
        <v>-26.4</v>
      </c>
      <c r="T307" t="e">
        <f t="shared" si="5"/>
        <v>#N/A</v>
      </c>
      <c r="U307" s="41"/>
      <c r="V307" t="s">
        <v>572</v>
      </c>
    </row>
    <row r="308" spans="1:23">
      <c r="C308" s="182" t="s">
        <v>482</v>
      </c>
      <c r="D308">
        <v>102815</v>
      </c>
      <c r="E308">
        <v>63.7</v>
      </c>
      <c r="F308">
        <v>16.87</v>
      </c>
      <c r="G308">
        <v>-29.2</v>
      </c>
      <c r="H308">
        <v>-27.9</v>
      </c>
      <c r="I308">
        <v>-26.9</v>
      </c>
      <c r="J308">
        <v>-26.2</v>
      </c>
      <c r="K308">
        <v>-25.3</v>
      </c>
      <c r="L308">
        <v>-24.5</v>
      </c>
      <c r="M308">
        <v>-24.1</v>
      </c>
      <c r="N308">
        <v>-23.8</v>
      </c>
      <c r="O308">
        <v>-23.6</v>
      </c>
      <c r="P308">
        <v>-23.2</v>
      </c>
      <c r="Q308">
        <v>-23</v>
      </c>
      <c r="R308">
        <v>-22.7</v>
      </c>
      <c r="T308" t="e">
        <f t="shared" si="5"/>
        <v>#N/A</v>
      </c>
      <c r="U308" s="41"/>
      <c r="V308" t="s">
        <v>568</v>
      </c>
    </row>
    <row r="309" spans="1:23" ht="36">
      <c r="C309" s="182" t="s">
        <v>479</v>
      </c>
      <c r="D309">
        <v>102908</v>
      </c>
      <c r="E309">
        <v>65.8</v>
      </c>
      <c r="F309">
        <v>15.1</v>
      </c>
      <c r="G309">
        <v>-27.3</v>
      </c>
      <c r="H309">
        <v>-26.5</v>
      </c>
      <c r="I309">
        <v>-25.6</v>
      </c>
      <c r="J309">
        <v>-25</v>
      </c>
      <c r="K309">
        <v>-24.5</v>
      </c>
      <c r="L309">
        <v>-24.2</v>
      </c>
      <c r="M309">
        <v>-23.9</v>
      </c>
      <c r="N309">
        <v>-23.6</v>
      </c>
      <c r="O309">
        <v>-23.6</v>
      </c>
      <c r="P309">
        <v>-23.6</v>
      </c>
      <c r="Q309">
        <v>-23</v>
      </c>
      <c r="R309">
        <v>-22.6</v>
      </c>
      <c r="T309" t="e">
        <f t="shared" si="5"/>
        <v>#N/A</v>
      </c>
      <c r="U309" s="41"/>
      <c r="V309" s="1" t="s">
        <v>559</v>
      </c>
    </row>
    <row r="310" spans="1:23" ht="48">
      <c r="C310" s="182" t="s">
        <v>474</v>
      </c>
      <c r="D310">
        <v>102813</v>
      </c>
      <c r="E310">
        <v>64.5</v>
      </c>
      <c r="F310">
        <v>17.16</v>
      </c>
      <c r="G310">
        <v>-28.9</v>
      </c>
      <c r="H310">
        <v>-28.4</v>
      </c>
      <c r="I310">
        <v>-27.2</v>
      </c>
      <c r="J310">
        <v>-26.4</v>
      </c>
      <c r="K310">
        <v>-25.7</v>
      </c>
      <c r="L310">
        <v>-25.3</v>
      </c>
      <c r="M310">
        <v>-25.1</v>
      </c>
      <c r="N310">
        <v>-24.9</v>
      </c>
      <c r="O310">
        <v>-24.7</v>
      </c>
      <c r="P310">
        <v>-24.5</v>
      </c>
      <c r="Q310">
        <v>-24.5</v>
      </c>
      <c r="R310">
        <v>-24.3</v>
      </c>
      <c r="T310" t="e">
        <f t="shared" si="5"/>
        <v>#N/A</v>
      </c>
      <c r="V310" s="1" t="s">
        <v>560</v>
      </c>
    </row>
    <row r="313" spans="1:23">
      <c r="A313" s="41"/>
      <c r="B313" s="41"/>
      <c r="C313" s="182" t="s">
        <v>459</v>
      </c>
      <c r="D313">
        <v>102023</v>
      </c>
      <c r="E313">
        <v>68.36</v>
      </c>
      <c r="F313">
        <v>18.82</v>
      </c>
      <c r="G313">
        <v>-25.6</v>
      </c>
      <c r="H313">
        <v>-25.2</v>
      </c>
      <c r="I313">
        <v>-24.2</v>
      </c>
      <c r="J313">
        <v>-23.5</v>
      </c>
      <c r="K313">
        <v>-23</v>
      </c>
      <c r="L313">
        <v>-22.3</v>
      </c>
      <c r="M313">
        <v>-21.7</v>
      </c>
      <c r="N313">
        <v>-21.2</v>
      </c>
      <c r="O313">
        <v>-20.9</v>
      </c>
      <c r="P313">
        <v>-20.9</v>
      </c>
      <c r="Q313">
        <v>-20.6</v>
      </c>
      <c r="R313">
        <v>-20.2</v>
      </c>
      <c r="T313" t="e">
        <f>VALUE(VLOOKUP(C313,FgeoVlookup,2,FALSE))</f>
        <v>#N/A</v>
      </c>
      <c r="V313" t="s">
        <v>572</v>
      </c>
    </row>
    <row r="314" spans="1:23">
      <c r="C314" s="182" t="s">
        <v>530</v>
      </c>
      <c r="D314">
        <v>102819</v>
      </c>
      <c r="E314">
        <v>62.45</v>
      </c>
      <c r="F314">
        <v>12.67</v>
      </c>
      <c r="G314">
        <v>-27.5</v>
      </c>
      <c r="H314">
        <v>-27.1</v>
      </c>
      <c r="I314">
        <v>-25.6</v>
      </c>
      <c r="J314">
        <v>-24.9</v>
      </c>
      <c r="K314">
        <v>-24</v>
      </c>
      <c r="L314">
        <v>-23.3</v>
      </c>
      <c r="M314">
        <v>-22.3</v>
      </c>
      <c r="N314">
        <v>-21.7</v>
      </c>
      <c r="O314">
        <v>-21.4</v>
      </c>
      <c r="P314">
        <v>-21</v>
      </c>
      <c r="Q314">
        <v>-20.8</v>
      </c>
      <c r="R314">
        <v>-20.7</v>
      </c>
      <c r="T314" t="e">
        <f>VALUE(VLOOKUP(C314,FgeoVlookup,2,FALSE))</f>
        <v>#N/A</v>
      </c>
      <c r="U314" s="41"/>
      <c r="V314" t="s">
        <v>553</v>
      </c>
    </row>
    <row r="316" spans="1:23">
      <c r="C316" s="182" t="s">
        <v>464</v>
      </c>
      <c r="D316">
        <v>102724</v>
      </c>
      <c r="E316">
        <v>61.83</v>
      </c>
      <c r="F316">
        <v>16.54</v>
      </c>
      <c r="G316">
        <v>-22.1</v>
      </c>
      <c r="H316">
        <v>-21.8</v>
      </c>
      <c r="I316">
        <v>-20.7</v>
      </c>
      <c r="J316">
        <v>-20.100000000000001</v>
      </c>
      <c r="K316">
        <v>-19.3</v>
      </c>
      <c r="L316">
        <v>-18.5</v>
      </c>
      <c r="M316">
        <v>-18.2</v>
      </c>
      <c r="N316">
        <v>-17.399999999999999</v>
      </c>
      <c r="O316">
        <v>-17.399999999999999</v>
      </c>
      <c r="P316">
        <v>-17.2</v>
      </c>
      <c r="Q316">
        <v>-16.7</v>
      </c>
      <c r="R316">
        <v>-16.600000000000001</v>
      </c>
      <c r="T316" t="e">
        <f>VALUE(VLOOKUP(C316,FgeoVlookup,2,FALSE))</f>
        <v>#N/A</v>
      </c>
      <c r="U316" t="s">
        <v>564</v>
      </c>
      <c r="V316" t="s">
        <v>564</v>
      </c>
    </row>
    <row r="317" spans="1:23">
      <c r="C317" s="182" t="s">
        <v>545</v>
      </c>
      <c r="D317">
        <v>102324</v>
      </c>
      <c r="E317">
        <v>57.17</v>
      </c>
      <c r="F317">
        <v>15.35</v>
      </c>
      <c r="G317">
        <v>-16.399999999999999</v>
      </c>
      <c r="H317">
        <v>-15.1</v>
      </c>
      <c r="I317">
        <v>-14.6</v>
      </c>
      <c r="J317">
        <v>-14</v>
      </c>
      <c r="K317">
        <v>-13.5</v>
      </c>
      <c r="L317">
        <v>-13.5</v>
      </c>
      <c r="M317">
        <v>-13.5</v>
      </c>
      <c r="N317">
        <v>-13.2</v>
      </c>
      <c r="O317">
        <v>-13</v>
      </c>
      <c r="P317">
        <v>-12.6</v>
      </c>
      <c r="Q317">
        <v>-12.2</v>
      </c>
      <c r="R317">
        <v>-11.9</v>
      </c>
      <c r="T317" t="e">
        <f>VALUE(VLOOKUP(C317,FgeoVlookup,2,FALSE))</f>
        <v>#N/A</v>
      </c>
      <c r="U317" s="41"/>
      <c r="V317" t="s">
        <v>572</v>
      </c>
    </row>
  </sheetData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Energibalansrapport proj</vt:lpstr>
      <vt:lpstr>Diagram</vt:lpstr>
      <vt:lpstr>Indata Lokaler</vt:lpstr>
      <vt:lpstr>Indata bostäder.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</dc:creator>
  <cp:keywords/>
  <dc:description/>
  <cp:lastModifiedBy>Bengt</cp:lastModifiedBy>
  <cp:lastPrinted>2019-12-07T13:15:50Z</cp:lastPrinted>
  <dcterms:created xsi:type="dcterms:W3CDTF">2016-12-15T11:42:43Z</dcterms:created>
  <dcterms:modified xsi:type="dcterms:W3CDTF">2019-12-07T15:35:29Z</dcterms:modified>
  <cp:category/>
</cp:coreProperties>
</file>