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ibalansrapport proj" sheetId="1" state="visible" r:id="rId2"/>
    <sheet name="Diagram" sheetId="2" state="visible" r:id="rId3"/>
    <sheet name="Indata Lokaler" sheetId="3" state="visible" r:id="rId4"/>
    <sheet name="Indata bostäder." sheetId="4" state="visible" r:id="rId5"/>
    <sheet name="Data" sheetId="5" state="hidden" r:id="rId6"/>
    <sheet name="DV ut" sheetId="6" state="hidden" r:id="rId7"/>
  </sheets>
  <definedNames>
    <definedName function="false" hidden="false" localSheetId="1" name="_xlnm.Print_Area" vbProcedure="false">Diagram!$A$19:$D$21</definedName>
    <definedName function="false" hidden="false" localSheetId="0" name="_xlnm.Print_Area" vbProcedure="false">'Energibalansrapport proj'!$O$77:$U$146</definedName>
    <definedName function="false" hidden="false" localSheetId="3" name="_xlnm.Print_Area" vbProcedure="false">'Indata bostäder.'!$B$2:$D$46</definedName>
    <definedName function="false" hidden="false" localSheetId="2" name="_xlnm.Print_Area" vbProcedure="false">'Indata Lokaler'!$A$1:$D$59</definedName>
    <definedName function="false" hidden="false" name="Aneby" vbProcedure="false">data!#ref!</definedName>
    <definedName function="false" hidden="false" name="Blekinge" vbProcedure="false">Data!$D$4:$D$8</definedName>
    <definedName function="false" hidden="false" name="Dalarna" vbProcedure="false">Data!$E$4:$E$19</definedName>
    <definedName function="false" hidden="false" name="Dummy" vbProcedure="false">data!#ref!</definedName>
    <definedName function="false" hidden="false" name="DVUT_TABLE" vbProcedure="false">'DV ut'!$B$3:$S$295</definedName>
    <definedName function="false" hidden="false" name="FgeoVlookup" vbProcedure="false">Data!$B$57:$C$355</definedName>
    <definedName function="false" hidden="false" name="Gottland" vbProcedure="false">Data!$F$4:$F$5</definedName>
    <definedName function="false" hidden="false" name="Gävleborg" vbProcedure="false">Data!$G$4:$G$13</definedName>
    <definedName function="false" hidden="false" name="Halland" vbProcedure="false">Data!$H$4:$H$10</definedName>
    <definedName function="false" hidden="false" name="Hustyp9_2" vbProcedure="false">'Energibalansrapport proj'!$B$196:$M$201</definedName>
    <definedName function="false" hidden="false" name="Jämtland" vbProcedure="false">Data!$I$4:$I$11</definedName>
    <definedName function="false" hidden="false" name="Jönköping" vbProcedure="false">Data!$J$4:$J$16</definedName>
    <definedName function="false" hidden="false" name="Kalmar" vbProcedure="false">Data!$K$4:$K$15</definedName>
    <definedName function="false" hidden="false" name="Kronoberg" vbProcedure="false">Data!$L$4:$L$10</definedName>
    <definedName function="false" hidden="false" name="Län" vbProcedure="false">data!#ref!</definedName>
    <definedName function="false" hidden="false" name="LänFgeo" vbProcedure="false">Data!$B$4:$B$24</definedName>
    <definedName function="false" hidden="false" name="Norrbotten" vbProcedure="false">Data!$M$4:$M$17</definedName>
    <definedName function="false" hidden="false" name="Ort" vbProcedure="false">'Energibalansrapport proj'!$D$150:$D$172</definedName>
    <definedName function="false" hidden="false" name="Skåne" vbProcedure="false">Data!$N$4:$N$36</definedName>
    <definedName function="false" hidden="false" name="Stockholm" vbProcedure="false">Data!$O$4:$O$31</definedName>
    <definedName function="false" hidden="false" name="Södermanland" vbProcedure="false">Data!$P$4:$P$11</definedName>
    <definedName function="false" hidden="false" name="Uppsala" vbProcedure="false">Data!$Q$4:$Q$11</definedName>
    <definedName function="false" hidden="false" name="Värmesystem" vbProcedure="false">'Energibalansrapport proj'!$B$208:$W$225</definedName>
    <definedName function="false" hidden="false" name="Värmland" vbProcedure="false">Data!$R$4:$R$19</definedName>
    <definedName function="false" hidden="false" name="Västerbotten" vbProcedure="false">Data!$S$4:$S$18</definedName>
    <definedName function="false" hidden="false" name="Västernorrland" vbProcedure="false">Data!$T$4:$T$10</definedName>
    <definedName function="false" hidden="false" name="Västmanland" vbProcedure="false">Data!$U$4:$U$13</definedName>
    <definedName function="false" hidden="false" name="Västra_Götaland" vbProcedure="false">Data!$V$4:$V$53</definedName>
    <definedName function="false" hidden="false" name="zoner" vbProcedure="false">'energibalansrapport proj'!#ref!</definedName>
    <definedName function="false" hidden="false" name="Örebro" vbProcedure="false">Data!$W$4:$W$15</definedName>
    <definedName function="false" hidden="false" name="Östergötland" vbProcedure="false">Data!$X$4:$X$16</definedName>
    <definedName function="false" hidden="false" localSheetId="0" name="Excel_BuiltIn_Print_Area" vbProcedure="false">'Energibalansrapport proj'!$O$77:$U$144</definedName>
    <definedName function="false" hidden="false" localSheetId="1" name="Excel_BuiltIn_Print_Area" vbProcedure="false">Diagram!$A$20:$D$21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" authorId="0">
      <text>
        <r>
          <rPr>
            <sz val="10"/>
            <rFont val="Arial"/>
            <family val="2"/>
            <charset val="1"/>
          </rPr>
          <t xml:space="preserve">Fyll i värden i de utpekade gula fälten. Utskriften innehåller även framräknade värden, markerade med vitgrå bakgrund, som normalt inte skall ändras. Sidhuvud och sidfot texter kan redigeras vid specialbehov..</t>
        </r>
      </text>
    </comment>
    <comment ref="N76" authorId="0">
      <text>
        <r>
          <rPr>
            <sz val="10"/>
            <rFont val="Arial"/>
            <family val="2"/>
            <charset val="1"/>
          </rPr>
          <t xml:space="preserve">Detta är rapporten  som skrivs ut. Normalt gör du inga förändringar här.
För att skriva ut alla rapporter, välj flik efter flik  vid utskrift
</t>
        </r>
      </text>
    </comment>
  </commentList>
</comments>
</file>

<file path=xl/sharedStrings.xml><?xml version="1.0" encoding="utf-8"?>
<sst xmlns="http://schemas.openxmlformats.org/spreadsheetml/2006/main" count="2322" uniqueCount="717">
  <si>
    <t xml:space="preserve">Fastighetsbeteckning : </t>
  </si>
  <si>
    <t xml:space="preserve">Beräkningen utförd av : </t>
  </si>
  <si>
    <t xml:space="preserve">Län  - Anges för att kunna välja Kommun</t>
  </si>
  <si>
    <t xml:space="preserve">Stockholm</t>
  </si>
  <si>
    <t xml:space="preserve">Kommun </t>
  </si>
  <si>
    <t xml:space="preserve">Typ av byggnad : </t>
  </si>
  <si>
    <t xml:space="preserve">Representativ ort för dimensionerande utetemperatur</t>
  </si>
  <si>
    <t xml:space="preserve"> C°</t>
  </si>
  <si>
    <t xml:space="preserve">Tidskonstant (värmetröghet i byggnaden )</t>
  </si>
  <si>
    <t xml:space="preserve">tim</t>
  </si>
  <si>
    <t xml:space="preserve">Värmeöverföringskoefficient vid maxventilation</t>
  </si>
  <si>
    <t xml:space="preserve">W/K°</t>
  </si>
  <si>
    <t xml:space="preserve">Genomsnittlig värmegenomgångskoefficient för byggnadens omslutning:</t>
  </si>
  <si>
    <t xml:space="preserve">W/m²K</t>
  </si>
  <si>
    <t xml:space="preserve">Atemp:</t>
  </si>
  <si>
    <t xml:space="preserve">m²</t>
  </si>
  <si>
    <t xml:space="preserve">Specifikation för byggnadens primärenergital.</t>
  </si>
  <si>
    <t xml:space="preserve">1 Uppvärmning</t>
  </si>
  <si>
    <t xml:space="preserve">Beräknad energianvändning för uppvärmning &amp; ventilation:</t>
  </si>
  <si>
    <t xml:space="preserve">kWh/år</t>
  </si>
  <si>
    <t xml:space="preserve">Skriv över med egen rubrik för eventuell gratsienergi som t.ex Solfångare</t>
  </si>
  <si>
    <t xml:space="preserve">kWh//år</t>
  </si>
  <si>
    <t xml:space="preserve">Värmekälla uppvärmning</t>
  </si>
  <si>
    <t xml:space="preserve">BEN / Jord/berg/sjö värmepump</t>
  </si>
  <si>
    <t xml:space="preserve">Verkningsgrad /års- COP värmesystem för uppvärmning</t>
  </si>
  <si>
    <t xml:space="preserve">ƞ</t>
  </si>
  <si>
    <t xml:space="preserve">Netto energi (köpt) för uppvärmning &amp; ventilationförluster.</t>
  </si>
  <si>
    <t xml:space="preserve">mod(kWh/år)</t>
  </si>
  <si>
    <t xml:space="preserve">kW</t>
  </si>
  <si>
    <t xml:space="preserve">2 Tappvarmvatten</t>
  </si>
  <si>
    <t xml:space="preserve">kWh/m2/år</t>
  </si>
  <si>
    <t xml:space="preserve">Beräknad energiåtgång för tappvarmvatten</t>
  </si>
  <si>
    <t xml:space="preserve">Energiförlust tappvarmvattensystem</t>
  </si>
  <si>
    <t xml:space="preserve">kW/år</t>
  </si>
  <si>
    <t xml:space="preserve">Verkningsgrad: års-COP för värmesystemet uppvärmning av varmvatten</t>
  </si>
  <si>
    <t xml:space="preserve">Netto energi (köpt) för varmvatten( Etvvv)</t>
  </si>
  <si>
    <t xml:space="preserve">Brutto effekt för uppvärmning VV. 500 W brutto / lgh enl BBR</t>
  </si>
  <si>
    <t xml:space="preserve">Nett0 effekt (köpt) uppvärmning VV. 500 W brutto / lgh enl BBR</t>
  </si>
  <si>
    <t xml:space="preserve"> 3 Fastighetsenergi, ventilation &amp; installationer.</t>
  </si>
  <si>
    <t xml:space="preserve">Ventilationstyp</t>
  </si>
  <si>
    <t xml:space="preserve">FTX</t>
  </si>
  <si>
    <t xml:space="preserve">SFP Fläktmotorer</t>
  </si>
  <si>
    <t xml:space="preserve">W//l/s</t>
  </si>
  <si>
    <t xml:space="preserve">Energiåtgång fläktmotorer</t>
  </si>
  <si>
    <t xml:space="preserve">W/m2</t>
  </si>
  <si>
    <t xml:space="preserve">Energiåtgång cirkulationspumpar</t>
  </si>
  <si>
    <t xml:space="preserve">Elektrisk energiåtgång för fläktar och cirkulationspumpar.</t>
  </si>
  <si>
    <t xml:space="preserve">Energiåtgång övrig fastighetsel</t>
  </si>
  <si>
    <t xml:space="preserve">Energiåtgång för fastighetens installationer: totalt</t>
  </si>
  <si>
    <t xml:space="preserve">4 BBR -Primärtal delparametrar</t>
  </si>
  <si>
    <t xml:space="preserve">Pei</t>
  </si>
  <si>
    <t xml:space="preserve">Byggnadens primärenergital    EPpet</t>
  </si>
  <si>
    <t xml:space="preserve">modifierad
kWh/m2/år</t>
  </si>
  <si>
    <t xml:space="preserve">Ventilation medel, om den är större än 0,35(även vid DVUT)</t>
  </si>
  <si>
    <t xml:space="preserve">l/s*m2</t>
  </si>
  <si>
    <t xml:space="preserve">Nyckeltal  - utöver  BBR redovisning</t>
  </si>
  <si>
    <t xml:space="preserve">Total erforderlig energiförbrukning för uppvärmning av byggnaden och varmvatten</t>
  </si>
  <si>
    <t xml:space="preserve">Totalt netto energi för uppvärmning och varmvatten. Hänsyn tagen till värmesystemets verkningsgrad.</t>
  </si>
  <si>
    <t xml:space="preserve">Total netto energiförbrukning (köpt energi ) för värme varmvatten och fastighetsenergi.</t>
  </si>
  <si>
    <t xml:space="preserve">Specefik energi: (köpt energi för uppvärmning, VV. och fastighetsel) / Atemp</t>
  </si>
  <si>
    <t xml:space="preserve">Kommentarer:</t>
  </si>
  <si>
    <t xml:space="preserve">Information om energiberäkningar vid bygganmälan hämtade från: Boverkets byggregler  BFS 2011:6 med ändringar t.o.m. BFS 2024:5 BBR 30, samt med standardiserade indata enligt BEN1 med ändringar t.o.m. BEN 3</t>
  </si>
  <si>
    <t xml:space="preserve">Energibalansberäkningen är utförd med EnergyCalc  enligt ISO 13790, se bilaga.</t>
  </si>
  <si>
    <t xml:space="preserve">Värmesystemet och dess prestanda måste kontrolleras dimensioneras av VVS leverantör</t>
  </si>
  <si>
    <t xml:space="preserve">skriv över med egen kommentar</t>
  </si>
  <si>
    <t xml:space="preserve">Föreskrivet i BBR</t>
  </si>
  <si>
    <t xml:space="preserve">BBR Beräknade nyckeltal</t>
  </si>
  <si>
    <t xml:space="preserve">Enhet</t>
  </si>
  <si>
    <t xml:space="preserve">Beräknad</t>
  </si>
  <si>
    <t xml:space="preserve">Max</t>
  </si>
  <si>
    <t xml:space="preserve">Energiklass</t>
  </si>
  <si>
    <t xml:space="preserve">Byggnadens beräknade primärenergital (EPpet) </t>
  </si>
  <si>
    <t xml:space="preserve">kW (El)</t>
  </si>
  <si>
    <t xml:space="preserve">BBR - påverkande indata.</t>
  </si>
  <si>
    <t xml:space="preserve">Specifikation för byggnadens beräknade energianvändning</t>
  </si>
  <si>
    <t xml:space="preserve">Därav eleffekt</t>
  </si>
  <si>
    <t xml:space="preserve">(Fgeo - 1) 
alltid &gt;=0</t>
  </si>
  <si>
    <t xml:space="preserve">(Q -0,35) l/s
Positiv</t>
  </si>
  <si>
    <t xml:space="preserve">Kravtabell energiprestanda</t>
  </si>
  <si>
    <t xml:space="preserve">Hustyp</t>
  </si>
  <si>
    <t xml:space="preserve">Eppet</t>
  </si>
  <si>
    <t xml:space="preserve">Primärtal tillägg hög ventilation</t>
  </si>
  <si>
    <t xml:space="preserve">Maxgräns luftflöde</t>
  </si>
  <si>
    <t xml:space="preserve">Maxgräns varningstext</t>
  </si>
  <si>
    <t xml:space="preserve">Max effekt med Fgeo</t>
  </si>
  <si>
    <t xml:space="preserve">Area
justering</t>
  </si>
  <si>
    <t xml:space="preserve">Hög ventillation
justering
effekt</t>
  </si>
  <si>
    <t xml:space="preserve">Tot maxeffek</t>
  </si>
  <si>
    <t xml:space="preserve">Max Um</t>
  </si>
  <si>
    <t xml:space="preserve">Areafel</t>
  </si>
  <si>
    <t xml:space="preserve">VV faktor
kWh/m2/år</t>
  </si>
  <si>
    <t xml:space="preserve">Småhus &gt;130 m2</t>
  </si>
  <si>
    <t xml:space="preserve">Betydelselös</t>
  </si>
  <si>
    <t xml:space="preserve">Småhus &gt;90-130 m2</t>
  </si>
  <si>
    <t xml:space="preserve">Småhus 50-90 m2</t>
  </si>
  <si>
    <t xml:space="preserve">Flerbostadshus</t>
  </si>
  <si>
    <t xml:space="preserve">Flerbostadshus lght &lt; 35 m2</t>
  </si>
  <si>
    <t xml:space="preserve">Lokal</t>
  </si>
  <si>
    <t xml:space="preserve">Vald</t>
  </si>
  <si>
    <t xml:space="preserve">Summa primärtal</t>
  </si>
  <si>
    <t xml:space="preserve">Primär-energital Uppv</t>
  </si>
  <si>
    <t xml:space="preserve">El</t>
  </si>
  <si>
    <t xml:space="preserve">Års-COP värme kallast DVUT -35</t>
  </si>
  <si>
    <t xml:space="preserve">Års-COP värme varmast DVUT -9,4</t>
  </si>
  <si>
    <t xml:space="preserve">Års-COP VV kallast DVUT</t>
  </si>
  <si>
    <t xml:space="preserve">Åres-COP VV varmast DVUT</t>
  </si>
  <si>
    <t xml:space="preserve">Vald års-COP värme</t>
  </si>
  <si>
    <t xml:space="preserve">Vald års-COP VV</t>
  </si>
  <si>
    <t xml:space="preserve">PFakt Fast el</t>
  </si>
  <si>
    <t xml:space="preserve">Direktel VV</t>
  </si>
  <si>
    <t xml:space="preserve">BEN / Direktverkande El</t>
  </si>
  <si>
    <t xml:space="preserve">Värmesystem besparing +/-</t>
  </si>
  <si>
    <t xml:space="preserve">BEN / Fjärrvärme</t>
  </si>
  <si>
    <t xml:space="preserve">BEN / Frånluftsvärmepump</t>
  </si>
  <si>
    <t xml:space="preserve">Frånluftsvärmepump besparing @BEN</t>
  </si>
  <si>
    <t xml:space="preserve">Jord/Berg -värmepump besparing @BEN</t>
  </si>
  <si>
    <t xml:space="preserve">BEN / Luft /Vatten värmepump</t>
  </si>
  <si>
    <t xml:space="preserve">Luft /Vatten värmepump besparing @BEN</t>
  </si>
  <si>
    <t xml:space="preserve">BEN / Oljepanna</t>
  </si>
  <si>
    <t xml:space="preserve">Oljepanna verkningsgradsförlust @BEN</t>
  </si>
  <si>
    <t xml:space="preserve">BEN / Pellets, ved, flis, biogas</t>
  </si>
  <si>
    <t xml:space="preserve">Pellets / vedpanna verkningsgradsförlust @BEN</t>
  </si>
  <si>
    <t xml:space="preserve">BEN / Gaspanna</t>
  </si>
  <si>
    <t xml:space="preserve">Gaspanna verkningsgradsförlust @BEN</t>
  </si>
  <si>
    <t xml:space="preserve">Direktverkande El</t>
  </si>
  <si>
    <t xml:space="preserve">Fjärrvärme</t>
  </si>
  <si>
    <t xml:space="preserve">Frånluftsvärmepump mindre</t>
  </si>
  <si>
    <t xml:space="preserve">Fränluftsvärmepump besparing</t>
  </si>
  <si>
    <t xml:space="preserve">Frånluftsvärmepump större</t>
  </si>
  <si>
    <t xml:space="preserve">Frånluftsvärmepump besparing</t>
  </si>
  <si>
    <t xml:space="preserve">Jord/Berg -värmepump</t>
  </si>
  <si>
    <t xml:space="preserve">Jord/Berg -värmepump besparing</t>
  </si>
  <si>
    <t xml:space="preserve">Luft /Vatten värmepump</t>
  </si>
  <si>
    <t xml:space="preserve">Luft /Vatten värmepump besparing</t>
  </si>
  <si>
    <t xml:space="preserve">Luft/Luft värmepump</t>
  </si>
  <si>
    <t xml:space="preserve">Luft/Luft värmepump besparing</t>
  </si>
  <si>
    <t xml:space="preserve">Biobränsle</t>
  </si>
  <si>
    <t xml:space="preserve">Pellets / vedpanna verkningsgradsförlust (-)</t>
  </si>
  <si>
    <t xml:space="preserve">Gaspanna fossil</t>
  </si>
  <si>
    <t xml:space="preserve">Gaspanna verkningsgradsförlust (-)</t>
  </si>
  <si>
    <t xml:space="preserve">Övrig</t>
  </si>
  <si>
    <t xml:space="preserve">Valt</t>
  </si>
  <si>
    <t xml:space="preserve">Formula</t>
  </si>
  <si>
    <t xml:space="preserve">Beräknad Års-COP värme</t>
  </si>
  <si>
    <t xml:space="preserve">BeräknadÅrs-COP VV</t>
  </si>
  <si>
    <t xml:space="preserve">Interpolerad ÅrsCOP</t>
  </si>
  <si>
    <t xml:space="preserve">DVUT </t>
  </si>
  <si>
    <t xml:space="preserve">Maxgräns</t>
  </si>
  <si>
    <t xml:space="preserve">MaxCOP
@DVUT</t>
  </si>
  <si>
    <t xml:space="preserve">MinCOP
@DVUT</t>
  </si>
  <si>
    <t xml:space="preserve">MINTEMP</t>
  </si>
  <si>
    <t xml:space="preserve">Energi för installationer</t>
  </si>
  <si>
    <t xml:space="preserve">Auto</t>
  </si>
  <si>
    <t xml:space="preserve">DELTA TEMP</t>
  </si>
  <si>
    <t xml:space="preserve">FSP ventilation</t>
  </si>
  <si>
    <t xml:space="preserve">DELTA-COP</t>
  </si>
  <si>
    <t xml:space="preserve">INTERPOLERAD COP VID DVUT</t>
  </si>
  <si>
    <t xml:space="preserve">W/m2 vid specad vent</t>
  </si>
  <si>
    <t xml:space="preserve">W/m2 cirkulationspump</t>
  </si>
  <si>
    <t xml:space="preserve">W/hela byggnaden</t>
  </si>
  <si>
    <t xml:space="preserve">Förlust VV- beredare kWh/år</t>
  </si>
  <si>
    <t xml:space="preserve">Flyttad till vv beredning</t>
  </si>
  <si>
    <t xml:space="preserve">Total förlust ´kWh/år</t>
  </si>
  <si>
    <t xml:space="preserve">Aktuell dygn</t>
  </si>
  <si>
    <r>
      <rPr>
        <sz val="12"/>
        <color rgb="FF000000"/>
        <rFont val="Arial"/>
        <family val="2"/>
        <charset val="1"/>
      </rPr>
      <t xml:space="preserve"> </t>
    </r>
    <r>
      <rPr>
        <b val="true"/>
        <sz val="10"/>
        <color rgb="FF000000"/>
        <rFont val="Arial"/>
        <family val="2"/>
        <charset val="1"/>
      </rPr>
      <t xml:space="preserve">Ort temperatur</t>
    </r>
  </si>
  <si>
    <t xml:space="preserve">1-dygn </t>
  </si>
  <si>
    <t xml:space="preserve">2-dygn </t>
  </si>
  <si>
    <t xml:space="preserve">3-dygn </t>
  </si>
  <si>
    <t xml:space="preserve">4-dygn </t>
  </si>
  <si>
    <t xml:space="preserve">5-dygn </t>
  </si>
  <si>
    <t xml:space="preserve">6-dygn </t>
  </si>
  <si>
    <t xml:space="preserve">7-dygn </t>
  </si>
  <si>
    <t xml:space="preserve">8-dygn </t>
  </si>
  <si>
    <t xml:space="preserve">9-dygn </t>
  </si>
  <si>
    <t xml:space="preserve">10-dygn </t>
  </si>
  <si>
    <t xml:space="preserve">11-dygn </t>
  </si>
  <si>
    <t xml:space="preserve">12-dygn </t>
  </si>
  <si>
    <t xml:space="preserve">Fgeo</t>
  </si>
  <si>
    <t xml:space="preserve">Kommun för Fgeo</t>
  </si>
  <si>
    <t xml:space="preserve">Ventilation</t>
  </si>
  <si>
    <t xml:space="preserve">Texter - kan justeras</t>
  </si>
  <si>
    <t xml:space="preserve">Internt tillskott</t>
  </si>
  <si>
    <t xml:space="preserve">Solinstrålning fönster</t>
  </si>
  <si>
    <t xml:space="preserve">Inköpt energi</t>
  </si>
  <si>
    <t xml:space="preserve">Förluster</t>
  </si>
  <si>
    <t xml:space="preserve">%</t>
  </si>
  <si>
    <t xml:space="preserve">Energi kWh/år</t>
  </si>
  <si>
    <t xml:space="preserve">Transmission</t>
  </si>
  <si>
    <t xml:space="preserve">Ventillation+vädring</t>
  </si>
  <si>
    <t xml:space="preserve">Luftläckage</t>
  </si>
  <si>
    <t xml:space="preserve">Varmvatten</t>
  </si>
  <si>
    <t xml:space="preserve">Installationer</t>
  </si>
  <si>
    <t xml:space="preserve">Antal personer i byggnaden</t>
  </si>
  <si>
    <t xml:space="preserve">'Kwh/år</t>
  </si>
  <si>
    <t xml:space="preserve">Nyttjandegrad</t>
  </si>
  <si>
    <t xml:space="preserve">Indata energiberäkning lokal – sammanställning - estimering</t>
  </si>
  <si>
    <t xml:space="preserve">Typ av lokal</t>
  </si>
  <si>
    <t xml:space="preserve">Förutsättningar</t>
  </si>
  <si>
    <t xml:space="preserve">Brutto -effekt kW</t>
  </si>
  <si>
    <t xml:space="preserve">Effektavgivning</t>
  </si>
  <si>
    <t xml:space="preserve">Antal tot</t>
  </si>
  <si>
    <t xml:space="preserve">Summa förlusteffekt som blir värme i lokalen W</t>
  </si>
  <si>
    <t xml:space="preserve">Maskin</t>
  </si>
  <si>
    <t xml:space="preserve">Apparater allmänt</t>
  </si>
  <si>
    <t xml:space="preserve">Maskiner totalt (W)</t>
  </si>
  <si>
    <t xml:space="preserve">Hjälpmedelsblankett - Indata för lokaler sker annars med respektive entreprenörs data.</t>
  </si>
  <si>
    <t xml:space="preserve">Totaleffekt att använda för maskiner och belysning under drift</t>
  </si>
  <si>
    <t xml:space="preserve">Antal m2</t>
  </si>
  <si>
    <t xml:space="preserve">Data till EC</t>
  </si>
  <si>
    <t xml:space="preserve">W i snitt</t>
  </si>
  <si>
    <t xml:space="preserve">Beräknad arbetstid – tim / dygn</t>
  </si>
  <si>
    <t xml:space="preserve">Antal driftsdagar / år</t>
  </si>
  <si>
    <t xml:space="preserve">Apparatur medeleffekt  för energiförbrukning W/m2 drift</t>
  </si>
  <si>
    <t xml:space="preserve">Apparatur medeleffekt  för energiförbrukning W/m2 vila</t>
  </si>
  <si>
    <t xml:space="preserve">Apparatur medeleffekt  för energiförbrukning W</t>
  </si>
  <si>
    <t xml:space="preserve">Belysning i Lux</t>
  </si>
  <si>
    <t xml:space="preserve">Upskattad Lux/W förlust medräknad</t>
  </si>
  <si>
    <t xml:space="preserve">Erforderlig effekt W/m²</t>
  </si>
  <si>
    <t xml:space="preserve">Belysning totalt kW</t>
  </si>
  <si>
    <t xml:space="preserve">Beräknad driftstid / dygn öppna dagar</t>
  </si>
  <si>
    <t xml:space="preserve">Andel öppettid .(årsmedel)</t>
  </si>
  <si>
    <t xml:space="preserve">Belysning medeleffekt  för energiförbrukning kW</t>
  </si>
  <si>
    <t xml:space="preserve">Metabolsk effekt (Personvärme)  W/person</t>
  </si>
  <si>
    <t xml:space="preserve">Antal kunder</t>
  </si>
  <si>
    <t xml:space="preserve">Beräknad uppehållstid tim / dygn köpdagar</t>
  </si>
  <si>
    <t xml:space="preserve">Antal personal</t>
  </si>
  <si>
    <t xml:space="preserve">Uppehållstid personal aktiva dagar</t>
  </si>
  <si>
    <t xml:space="preserve">Totalt  antal person*timmar öppna dagar</t>
  </si>
  <si>
    <t xml:space="preserve">Genomsnittligt antal personer i byggnaden (årsmedel)</t>
  </si>
  <si>
    <t xml:space="preserve">Metabolsk medeleffekt  för energiförbrukning W</t>
  </si>
  <si>
    <t xml:space="preserve">Ventilation- prel. Beräkning av medelflöde</t>
  </si>
  <si>
    <t xml:space="preserve">A temp</t>
  </si>
  <si>
    <t xml:space="preserve">Area m²  bottenarea</t>
  </si>
  <si>
    <t xml:space="preserve">Höjd (medel för hela byggnaden)</t>
  </si>
  <si>
    <t xml:space="preserve">Volym</t>
  </si>
  <si>
    <t xml:space="preserve">Luftflöde icke driftstid l/s  (0,1 l/s/m2)</t>
  </si>
  <si>
    <t xml:space="preserve">Flöde under driftsperiod  luftbyte/h</t>
  </si>
  <si>
    <t xml:space="preserve">Flöde l/s/m2 driftstid (per Atemp) 
(beräkning se nedan)</t>
  </si>
  <si>
    <t xml:space="preserve">Erforderligt luftflöde.</t>
  </si>
  <si>
    <t xml:space="preserve">Beräkning driftstid / dygn snitt årsbasis</t>
  </si>
  <si>
    <t xml:space="preserve">Genomsnittsflöde l/s/m²</t>
  </si>
  <si>
    <t xml:space="preserve">Luftflöde för förhöjd effekt och Spec energi under dagtid l/s/m2</t>
  </si>
  <si>
    <t xml:space="preserve">Preliminärt beräknad erforderlig tilluftsventilation driftstid</t>
  </si>
  <si>
    <t xml:space="preserve">Area</t>
  </si>
  <si>
    <t xml:space="preserve">Luftflöde tilluft l/s</t>
  </si>
  <si>
    <t xml:space="preserve">Tot luftflöde l/s</t>
  </si>
  <si>
    <t xml:space="preserve">Kontor</t>
  </si>
  <si>
    <t xml:space="preserve">Matsal</t>
  </si>
  <si>
    <t xml:space="preserve">Teknik</t>
  </si>
  <si>
    <t xml:space="preserve">Omklädningsrum</t>
  </si>
  <si>
    <t xml:space="preserve">Dusch WC</t>
  </si>
  <si>
    <t xml:space="preserve">Lager Verkstad 50/50 (50 % tillluft area)</t>
  </si>
  <si>
    <t xml:space="preserve">Summa</t>
  </si>
  <si>
    <t xml:space="preserve">Snittflöde l/s/m2 driftstid (för dimensionering effekt)</t>
  </si>
  <si>
    <t xml:space="preserve">Beräkning genomsnittlig temperatur</t>
  </si>
  <si>
    <t xml:space="preserve">Temperatur C</t>
  </si>
  <si>
    <t xml:space="preserve">Omslutnigsarea m²</t>
  </si>
  <si>
    <t xml:space="preserve">Faktor</t>
  </si>
  <si>
    <t xml:space="preserve">Servicedel – kontor</t>
  </si>
  <si>
    <t xml:space="preserve">Verkstad lager</t>
  </si>
  <si>
    <t xml:space="preserve">Standardiserade indata för energiberäkning för bostäder enl. BEN 1 med ändringar t.o.m BEN 3</t>
  </si>
  <si>
    <t xml:space="preserve">Mellanresultat enl BEN</t>
  </si>
  <si>
    <t xml:space="preserve">Indata / val</t>
  </si>
  <si>
    <t xml:space="preserve">Beräknade inparametrar till EnergyCalc</t>
  </si>
  <si>
    <t xml:space="preserve">Standardiserade indata enligt BEN 1 med inkluderade ändringat till och med BEN 3</t>
  </si>
  <si>
    <t xml:space="preserve">Typ av byggnad</t>
  </si>
  <si>
    <t xml:space="preserve">Konstanter</t>
  </si>
  <si>
    <t xml:space="preserve">Äldreboende (endast för flerbostadshus)</t>
  </si>
  <si>
    <t xml:space="preserve">Ja/nej</t>
  </si>
  <si>
    <t xml:space="preserve">nej</t>
  </si>
  <si>
    <t xml:space="preserve">Temperatur bostadsutrymme</t>
  </si>
  <si>
    <t xml:space="preserve">Bostäder</t>
  </si>
  <si>
    <t xml:space="preserve">á antal personer</t>
  </si>
  <si>
    <t xml:space="preserve">1 rum och kök</t>
  </si>
  <si>
    <t xml:space="preserve">st.</t>
  </si>
  <si>
    <t xml:space="preserve">2 rum och kök</t>
  </si>
  <si>
    <t xml:space="preserve">3 rum och kök</t>
  </si>
  <si>
    <t xml:space="preserve">4 rum och kök</t>
  </si>
  <si>
    <t xml:space="preserve">5 + fler rum och kök</t>
  </si>
  <si>
    <t xml:space="preserve">Totalt antal lägenheter</t>
  </si>
  <si>
    <t xml:space="preserve">Totalt antal personer</t>
  </si>
  <si>
    <t xml:space="preserve">Effektavgivning W/person</t>
  </si>
  <si>
    <t xml:space="preserve">W/person</t>
  </si>
  <si>
    <t xml:space="preserve">Närvarofaktor (14/7/52)</t>
  </si>
  <si>
    <t xml:space="preserve">Metabolsk medeleffekt</t>
  </si>
  <si>
    <t xml:space="preserve">W</t>
  </si>
  <si>
    <t xml:space="preserve">A-temp </t>
  </si>
  <si>
    <t xml:space="preserve">Metabolsk medeleffekt / m²</t>
  </si>
  <si>
    <t xml:space="preserve">Luftflöde grundflöde</t>
  </si>
  <si>
    <t xml:space="preserve">l/s/m2</t>
  </si>
  <si>
    <t xml:space="preserve">Frånluftsventilerad kökfläkt</t>
  </si>
  <si>
    <t xml:space="preserve">Nej</t>
  </si>
  <si>
    <t xml:space="preserve">Kökets volym m3</t>
  </si>
  <si>
    <t xml:space="preserve">m3</t>
  </si>
  <si>
    <t xml:space="preserve">Normalt luftflöde köksfläkt  vid 10 byten/h</t>
  </si>
  <si>
    <t xml:space="preserve">l/s</t>
  </si>
  <si>
    <t xml:space="preserve">Luftflöde  köksfläkt under drift l/s (mot uteluft)</t>
  </si>
  <si>
    <t xml:space="preserve">Forcerat luftflöde köksfläkt (mot uteluft)</t>
  </si>
  <si>
    <t xml:space="preserve">tim/dygn</t>
  </si>
  <si>
    <t xml:space="preserve">Antal WC/Badrum</t>
  </si>
  <si>
    <t xml:space="preserve">Ej i Ben</t>
  </si>
  <si>
    <t xml:space="preserve">Genomsnittsarea WC/Badrum</t>
  </si>
  <si>
    <t xml:space="preserve">Driftstid ventilation WC tim/ dygn</t>
  </si>
  <si>
    <t xml:space="preserve">Luftflöde per WC/Badrum under drift</t>
  </si>
  <si>
    <t xml:space="preserve">Extra luftflöde WC/Badrum</t>
  </si>
  <si>
    <t xml:space="preserve">Forcerat luftflöde kök</t>
  </si>
  <si>
    <t xml:space="preserve">Anta tim/dygn med forcerad köksventilation</t>
  </si>
  <si>
    <t xml:space="preserve">Totalt frånluftsflöde.</t>
  </si>
  <si>
    <t xml:space="preserve">Frånluftsflöde</t>
  </si>
  <si>
    <t xml:space="preserve">Vädringspåslag</t>
  </si>
  <si>
    <t xml:space="preserve">Se i fliken Energibalansrapport proj</t>
  </si>
  <si>
    <t xml:space="preserve">Hushållsenergi / Apparatur</t>
  </si>
  <si>
    <t xml:space="preserve">Därav max tillgodnyttjad  (70%)</t>
  </si>
  <si>
    <t xml:space="preserve">Finns betendestyrd solavskärmning för fönster</t>
  </si>
  <si>
    <t xml:space="preserve">Beteendestyrd solavskärmning.
Skuggfaktor fönster i EC</t>
  </si>
  <si>
    <t xml:space="preserve">P50, läckfaktor</t>
  </si>
  <si>
    <t xml:space="preserve">l/(s*m2)</t>
  </si>
  <si>
    <t xml:space="preserve">Köksfläkt med avluftsflöde (Ut)</t>
  </si>
  <si>
    <t xml:space="preserve">Ja eller Nej</t>
  </si>
  <si>
    <t xml:space="preserve">Ja</t>
  </si>
  <si>
    <t xml:space="preserve">LänFgeo</t>
  </si>
  <si>
    <t xml:space="preserve">Blekinge</t>
  </si>
  <si>
    <t xml:space="preserve">Dalarna</t>
  </si>
  <si>
    <t xml:space="preserve">Gottland</t>
  </si>
  <si>
    <t xml:space="preserve">Gävleborg</t>
  </si>
  <si>
    <t xml:space="preserve">Halland</t>
  </si>
  <si>
    <t xml:space="preserve">Jämtland</t>
  </si>
  <si>
    <t xml:space="preserve">Jönköping</t>
  </si>
  <si>
    <t xml:space="preserve">Kalmar</t>
  </si>
  <si>
    <t xml:space="preserve">Kronoberg</t>
  </si>
  <si>
    <t xml:space="preserve">Norrbotten</t>
  </si>
  <si>
    <t xml:space="preserve">Skåne</t>
  </si>
  <si>
    <t xml:space="preserve">Södermanland</t>
  </si>
  <si>
    <t xml:space="preserve">Uppsala</t>
  </si>
  <si>
    <t xml:space="preserve">Värmland</t>
  </si>
  <si>
    <t xml:space="preserve">Västerbotten</t>
  </si>
  <si>
    <t xml:space="preserve">Västernorrland</t>
  </si>
  <si>
    <t xml:space="preserve">Västmanland</t>
  </si>
  <si>
    <t xml:space="preserve">Västra Götaland</t>
  </si>
  <si>
    <t xml:space="preserve">Örebro</t>
  </si>
  <si>
    <t xml:space="preserve">Östergötland</t>
  </si>
  <si>
    <t xml:space="preserve">Karlshamn</t>
  </si>
  <si>
    <t xml:space="preserve">Avesta</t>
  </si>
  <si>
    <t xml:space="preserve">Hemse</t>
  </si>
  <si>
    <t xml:space="preserve">Gävle</t>
  </si>
  <si>
    <t xml:space="preserve">Falkenberg</t>
  </si>
  <si>
    <t xml:space="preserve">Berg</t>
  </si>
  <si>
    <t xml:space="preserve">Aneby</t>
  </si>
  <si>
    <t xml:space="preserve">Borgholm</t>
  </si>
  <si>
    <t xml:space="preserve">Alvesta</t>
  </si>
  <si>
    <t xml:space="preserve">Piteå</t>
  </si>
  <si>
    <t xml:space="preserve">Höganäs</t>
  </si>
  <si>
    <t xml:space="preserve">Adelsö</t>
  </si>
  <si>
    <t xml:space="preserve">Eskilstuna</t>
  </si>
  <si>
    <t xml:space="preserve">Enköping</t>
  </si>
  <si>
    <t xml:space="preserve">Grums</t>
  </si>
  <si>
    <t xml:space="preserve">Nordmaling</t>
  </si>
  <si>
    <t xml:space="preserve">Härnösand</t>
  </si>
  <si>
    <t xml:space="preserve">Arboga</t>
  </si>
  <si>
    <t xml:space="preserve">Göteborg</t>
  </si>
  <si>
    <t xml:space="preserve">Hallsberg</t>
  </si>
  <si>
    <t xml:space="preserve">Finspång</t>
  </si>
  <si>
    <t xml:space="preserve">Karlskrona</t>
  </si>
  <si>
    <t xml:space="preserve">Hedemora</t>
  </si>
  <si>
    <t xml:space="preserve">Visby</t>
  </si>
  <si>
    <t xml:space="preserve">Ockelbo</t>
  </si>
  <si>
    <t xml:space="preserve">Halmstad</t>
  </si>
  <si>
    <t xml:space="preserve">Bräcke</t>
  </si>
  <si>
    <t xml:space="preserve">Gislaved</t>
  </si>
  <si>
    <t xml:space="preserve">Emmaboda</t>
  </si>
  <si>
    <t xml:space="preserve">Lessebo</t>
  </si>
  <si>
    <t xml:space="preserve">Boden</t>
  </si>
  <si>
    <t xml:space="preserve">Landskrona</t>
  </si>
  <si>
    <t xml:space="preserve">Botkyrka</t>
  </si>
  <si>
    <t xml:space="preserve">Flen</t>
  </si>
  <si>
    <t xml:space="preserve">Håbo</t>
  </si>
  <si>
    <t xml:space="preserve">Säffle</t>
  </si>
  <si>
    <t xml:space="preserve">Umeå</t>
  </si>
  <si>
    <t xml:space="preserve">Kramfors</t>
  </si>
  <si>
    <t xml:space="preserve">Hallstahammar</t>
  </si>
  <si>
    <t xml:space="preserve">Härryda</t>
  </si>
  <si>
    <t xml:space="preserve">Kumla</t>
  </si>
  <si>
    <t xml:space="preserve">Kisa</t>
  </si>
  <si>
    <t xml:space="preserve">Olofström</t>
  </si>
  <si>
    <t xml:space="preserve">Säter</t>
  </si>
  <si>
    <t xml:space="preserve">Sandviken</t>
  </si>
  <si>
    <t xml:space="preserve">Laholm</t>
  </si>
  <si>
    <t xml:space="preserve">Raglunda</t>
  </si>
  <si>
    <t xml:space="preserve">Gnosjö</t>
  </si>
  <si>
    <t xml:space="preserve">Ljungby</t>
  </si>
  <si>
    <t xml:space="preserve">Haparanda</t>
  </si>
  <si>
    <t xml:space="preserve">Lomma</t>
  </si>
  <si>
    <t xml:space="preserve">Danderyd</t>
  </si>
  <si>
    <t xml:space="preserve">Gnesta</t>
  </si>
  <si>
    <t xml:space="preserve">Knivsta</t>
  </si>
  <si>
    <t xml:space="preserve">Arvika</t>
  </si>
  <si>
    <t xml:space="preserve">Bjurholm</t>
  </si>
  <si>
    <t xml:space="preserve">Sundsvall</t>
  </si>
  <si>
    <t xml:space="preserve">Kungsör</t>
  </si>
  <si>
    <t xml:space="preserve">Kungälv</t>
  </si>
  <si>
    <t xml:space="preserve">Laxå</t>
  </si>
  <si>
    <t xml:space="preserve">Linköping</t>
  </si>
  <si>
    <t xml:space="preserve">Ronneby</t>
  </si>
  <si>
    <t xml:space="preserve">Borlänge</t>
  </si>
  <si>
    <t xml:space="preserve">Bollnäs</t>
  </si>
  <si>
    <t xml:space="preserve">Ullared</t>
  </si>
  <si>
    <t xml:space="preserve">Östersund</t>
  </si>
  <si>
    <t xml:space="preserve">Habo</t>
  </si>
  <si>
    <t xml:space="preserve">Mönsterås</t>
  </si>
  <si>
    <t xml:space="preserve">Markaryd</t>
  </si>
  <si>
    <t xml:space="preserve">Kalix</t>
  </si>
  <si>
    <t xml:space="preserve">Malmö</t>
  </si>
  <si>
    <t xml:space="preserve">Haninge</t>
  </si>
  <si>
    <t xml:space="preserve">Katrineholm</t>
  </si>
  <si>
    <t xml:space="preserve">Eda</t>
  </si>
  <si>
    <t xml:space="preserve">Robertsfors</t>
  </si>
  <si>
    <t xml:space="preserve">Timrå</t>
  </si>
  <si>
    <t xml:space="preserve">Köping</t>
  </si>
  <si>
    <t xml:space="preserve">Lerum</t>
  </si>
  <si>
    <t xml:space="preserve">Lekeberg</t>
  </si>
  <si>
    <t xml:space="preserve">Mjölby</t>
  </si>
  <si>
    <t xml:space="preserve">Sölvesborg</t>
  </si>
  <si>
    <t xml:space="preserve">Falun</t>
  </si>
  <si>
    <t xml:space="preserve">Hofors</t>
  </si>
  <si>
    <t xml:space="preserve">Kungsbacka</t>
  </si>
  <si>
    <t xml:space="preserve">Härjedalen</t>
  </si>
  <si>
    <t xml:space="preserve">Mörbylånga</t>
  </si>
  <si>
    <t xml:space="preserve">Tingsryd</t>
  </si>
  <si>
    <t xml:space="preserve">Luleå</t>
  </si>
  <si>
    <t xml:space="preserve">Vellinge</t>
  </si>
  <si>
    <t xml:space="preserve">Huddinge</t>
  </si>
  <si>
    <t xml:space="preserve">Nyköping</t>
  </si>
  <si>
    <t xml:space="preserve">Heby</t>
  </si>
  <si>
    <t xml:space="preserve">Filipstad</t>
  </si>
  <si>
    <t xml:space="preserve">Skellefteå</t>
  </si>
  <si>
    <t xml:space="preserve">Örnsköldsvik</t>
  </si>
  <si>
    <t xml:space="preserve">Surahammar</t>
  </si>
  <si>
    <t xml:space="preserve">Lysekil</t>
  </si>
  <si>
    <t xml:space="preserve">Motala</t>
  </si>
  <si>
    <t xml:space="preserve">Gagnef</t>
  </si>
  <si>
    <t xml:space="preserve">Hudiksvall</t>
  </si>
  <si>
    <t xml:space="preserve">Varberg</t>
  </si>
  <si>
    <t xml:space="preserve">Krokom</t>
  </si>
  <si>
    <t xml:space="preserve">Mullsjö</t>
  </si>
  <si>
    <t xml:space="preserve">Nybro</t>
  </si>
  <si>
    <t xml:space="preserve">Älmhult</t>
  </si>
  <si>
    <t xml:space="preserve">Älvsbyn</t>
  </si>
  <si>
    <t xml:space="preserve">Bjuv</t>
  </si>
  <si>
    <t xml:space="preserve">Järfälla</t>
  </si>
  <si>
    <t xml:space="preserve">Strängnäs</t>
  </si>
  <si>
    <t xml:space="preserve">Tierp</t>
  </si>
  <si>
    <t xml:space="preserve">Forshaga</t>
  </si>
  <si>
    <t xml:space="preserve">Vännäs</t>
  </si>
  <si>
    <t xml:space="preserve">Sollefteå</t>
  </si>
  <si>
    <t xml:space="preserve">Västerås</t>
  </si>
  <si>
    <t xml:space="preserve">Mölndal</t>
  </si>
  <si>
    <t xml:space="preserve">Askersund</t>
  </si>
  <si>
    <t xml:space="preserve">Malexander</t>
  </si>
  <si>
    <t xml:space="preserve">Leksand</t>
  </si>
  <si>
    <t xml:space="preserve">Nordanstig</t>
  </si>
  <si>
    <t xml:space="preserve">Hylte</t>
  </si>
  <si>
    <t xml:space="preserve">Strömsund</t>
  </si>
  <si>
    <t xml:space="preserve">Tranås</t>
  </si>
  <si>
    <t xml:space="preserve">Oskarshamn</t>
  </si>
  <si>
    <t xml:space="preserve">Växjö</t>
  </si>
  <si>
    <t xml:space="preserve">Arvidsjaur</t>
  </si>
  <si>
    <t xml:space="preserve">Bromölla</t>
  </si>
  <si>
    <t xml:space="preserve">Lidingö</t>
  </si>
  <si>
    <t xml:space="preserve">Trosa</t>
  </si>
  <si>
    <t xml:space="preserve">Älvkarleby</t>
  </si>
  <si>
    <t xml:space="preserve">Hammarö</t>
  </si>
  <si>
    <t xml:space="preserve">Dorotea</t>
  </si>
  <si>
    <t xml:space="preserve">Ånge</t>
  </si>
  <si>
    <t xml:space="preserve">Fagersta</t>
  </si>
  <si>
    <t xml:space="preserve">Orust</t>
  </si>
  <si>
    <t xml:space="preserve">Degerfors</t>
  </si>
  <si>
    <t xml:space="preserve">Norrköping</t>
  </si>
  <si>
    <t xml:space="preserve">Ludvika</t>
  </si>
  <si>
    <t xml:space="preserve">Söderhamn</t>
  </si>
  <si>
    <t xml:space="preserve">Åre</t>
  </si>
  <si>
    <t xml:space="preserve">Vaggeryd</t>
  </si>
  <si>
    <t xml:space="preserve">Torsås</t>
  </si>
  <si>
    <t xml:space="preserve">Överkalix</t>
  </si>
  <si>
    <t xml:space="preserve">Burlöv</t>
  </si>
  <si>
    <t xml:space="preserve">Märsta</t>
  </si>
  <si>
    <t xml:space="preserve">Vingåker</t>
  </si>
  <si>
    <t xml:space="preserve">Östhammar</t>
  </si>
  <si>
    <t xml:space="preserve">Karlstad</t>
  </si>
  <si>
    <t xml:space="preserve">Lycksele</t>
  </si>
  <si>
    <t xml:space="preserve">Norberg</t>
  </si>
  <si>
    <t xml:space="preserve">Partille</t>
  </si>
  <si>
    <t xml:space="preserve">Hällefors</t>
  </si>
  <si>
    <t xml:space="preserve">Söderköping</t>
  </si>
  <si>
    <t xml:space="preserve">Mora</t>
  </si>
  <si>
    <t xml:space="preserve">Ljusdal</t>
  </si>
  <si>
    <t xml:space="preserve">Vetlanda</t>
  </si>
  <si>
    <t xml:space="preserve">Västervik</t>
  </si>
  <si>
    <t xml:space="preserve">Övertorneå</t>
  </si>
  <si>
    <t xml:space="preserve">Båstad</t>
  </si>
  <si>
    <t xml:space="preserve">Nacka</t>
  </si>
  <si>
    <t xml:space="preserve">Kil</t>
  </si>
  <si>
    <t xml:space="preserve">Vindeln</t>
  </si>
  <si>
    <t xml:space="preserve">Sala</t>
  </si>
  <si>
    <t xml:space="preserve">Sotenäs</t>
  </si>
  <si>
    <t xml:space="preserve">Karlskoga</t>
  </si>
  <si>
    <t xml:space="preserve">Vadstena</t>
  </si>
  <si>
    <t xml:space="preserve">Orsa</t>
  </si>
  <si>
    <t xml:space="preserve">Ovanåker</t>
  </si>
  <si>
    <t xml:space="preserve">Värnamo</t>
  </si>
  <si>
    <t xml:space="preserve">Hultsfred</t>
  </si>
  <si>
    <t xml:space="preserve">Arjeplog</t>
  </si>
  <si>
    <t xml:space="preserve">Eslöv</t>
  </si>
  <si>
    <t xml:space="preserve">Norrtälje</t>
  </si>
  <si>
    <t xml:space="preserve">Kristinehamn</t>
  </si>
  <si>
    <t xml:space="preserve">Åsele</t>
  </si>
  <si>
    <t xml:space="preserve">Skinnskatteberg</t>
  </si>
  <si>
    <t xml:space="preserve">Stenungsund</t>
  </si>
  <si>
    <t xml:space="preserve">Lindesberg</t>
  </si>
  <si>
    <t xml:space="preserve">Valdermarsvik</t>
  </si>
  <si>
    <t xml:space="preserve">Rättvik</t>
  </si>
  <si>
    <t xml:space="preserve">Eksjö</t>
  </si>
  <si>
    <t xml:space="preserve">Högsby</t>
  </si>
  <si>
    <t xml:space="preserve">Pajala</t>
  </si>
  <si>
    <t xml:space="preserve">Helsingborg</t>
  </si>
  <si>
    <t xml:space="preserve">Nykvarn</t>
  </si>
  <si>
    <t xml:space="preserve">Munkfors</t>
  </si>
  <si>
    <t xml:space="preserve">Malå</t>
  </si>
  <si>
    <t xml:space="preserve">Strömstad</t>
  </si>
  <si>
    <t xml:space="preserve">Nora</t>
  </si>
  <si>
    <t xml:space="preserve">Ydre</t>
  </si>
  <si>
    <t xml:space="preserve">Smedjebacken</t>
  </si>
  <si>
    <t xml:space="preserve">Nässjö</t>
  </si>
  <si>
    <t xml:space="preserve">Vimmerby</t>
  </si>
  <si>
    <t xml:space="preserve">Jokkmokk</t>
  </si>
  <si>
    <t xml:space="preserve">Hässleholm</t>
  </si>
  <si>
    <t xml:space="preserve">Nynäshamn</t>
  </si>
  <si>
    <t xml:space="preserve">Storfors</t>
  </si>
  <si>
    <t xml:space="preserve">Norsjö</t>
  </si>
  <si>
    <t xml:space="preserve">Tanum</t>
  </si>
  <si>
    <t xml:space="preserve">Ljusnarsberg</t>
  </si>
  <si>
    <t xml:space="preserve">Åtvidaberg</t>
  </si>
  <si>
    <t xml:space="preserve">Vansbro</t>
  </si>
  <si>
    <t xml:space="preserve">Sävsjö</t>
  </si>
  <si>
    <t xml:space="preserve">Gällivare</t>
  </si>
  <si>
    <t xml:space="preserve">Hörby</t>
  </si>
  <si>
    <t xml:space="preserve">Salem</t>
  </si>
  <si>
    <t xml:space="preserve">Sunne</t>
  </si>
  <si>
    <t xml:space="preserve">Vilhelmina</t>
  </si>
  <si>
    <t xml:space="preserve">Tjörn</t>
  </si>
  <si>
    <t xml:space="preserve">Ödeshög</t>
  </si>
  <si>
    <t xml:space="preserve">Malung-Sälen</t>
  </si>
  <si>
    <t xml:space="preserve">Kiruna</t>
  </si>
  <si>
    <t xml:space="preserve">Höör</t>
  </si>
  <si>
    <t xml:space="preserve">Sigtuna</t>
  </si>
  <si>
    <t xml:space="preserve">Årjäng</t>
  </si>
  <si>
    <t xml:space="preserve">Sorsele</t>
  </si>
  <si>
    <t xml:space="preserve">Uddevalla</t>
  </si>
  <si>
    <t xml:space="preserve">Sälen-Högfjällshotell</t>
  </si>
  <si>
    <t xml:space="preserve">Klippan</t>
  </si>
  <si>
    <t xml:space="preserve">Sollentuna</t>
  </si>
  <si>
    <t xml:space="preserve">Hagfors</t>
  </si>
  <si>
    <t xml:space="preserve">Storuman</t>
  </si>
  <si>
    <t xml:space="preserve">Öckerö</t>
  </si>
  <si>
    <t xml:space="preserve">Älvdalen</t>
  </si>
  <si>
    <t xml:space="preserve">Kristianstad</t>
  </si>
  <si>
    <t xml:space="preserve">Solna</t>
  </si>
  <si>
    <t xml:space="preserve">Torsby</t>
  </si>
  <si>
    <t xml:space="preserve">Ale</t>
  </si>
  <si>
    <t xml:space="preserve">Kävlinge</t>
  </si>
  <si>
    <t xml:space="preserve">Alingsås</t>
  </si>
  <si>
    <t xml:space="preserve">Lund</t>
  </si>
  <si>
    <t xml:space="preserve">Stockholm-Bromma</t>
  </si>
  <si>
    <t xml:space="preserve">Bengtsfors</t>
  </si>
  <si>
    <t xml:space="preserve">Västra_Götaland</t>
  </si>
  <si>
    <t xml:space="preserve">Perstorp</t>
  </si>
  <si>
    <t xml:space="preserve">Sundbyberg</t>
  </si>
  <si>
    <t xml:space="preserve">Bollebygd</t>
  </si>
  <si>
    <t xml:space="preserve">Simrishamn</t>
  </si>
  <si>
    <t xml:space="preserve">Södertälje</t>
  </si>
  <si>
    <t xml:space="preserve">Borås</t>
  </si>
  <si>
    <t xml:space="preserve">Sjöbo</t>
  </si>
  <si>
    <t xml:space="preserve">Tyresö</t>
  </si>
  <si>
    <t xml:space="preserve">Dals-Ed</t>
  </si>
  <si>
    <t xml:space="preserve">Skurup</t>
  </si>
  <si>
    <t xml:space="preserve">Täby</t>
  </si>
  <si>
    <t xml:space="preserve">Essunga</t>
  </si>
  <si>
    <t xml:space="preserve">Staffanstorp</t>
  </si>
  <si>
    <t xml:space="preserve">Upplands-Bro</t>
  </si>
  <si>
    <t xml:space="preserve">Falköping</t>
  </si>
  <si>
    <t xml:space="preserve">Svalöv</t>
  </si>
  <si>
    <t xml:space="preserve">Upplands-Väsby</t>
  </si>
  <si>
    <t xml:space="preserve">Färgelanda</t>
  </si>
  <si>
    <t xml:space="preserve">Svedala</t>
  </si>
  <si>
    <t xml:space="preserve">Vallentuna</t>
  </si>
  <si>
    <t xml:space="preserve">Grästorp</t>
  </si>
  <si>
    <t xml:space="preserve">Tomelilla</t>
  </si>
  <si>
    <t xml:space="preserve">Vaxholm</t>
  </si>
  <si>
    <t xml:space="preserve">Gullspång</t>
  </si>
  <si>
    <t xml:space="preserve">Län</t>
  </si>
  <si>
    <t xml:space="preserve">Trelleborg</t>
  </si>
  <si>
    <t xml:space="preserve">Värmdö</t>
  </si>
  <si>
    <t xml:space="preserve">Götene</t>
  </si>
  <si>
    <t xml:space="preserve">Kommun / ort</t>
  </si>
  <si>
    <t xml:space="preserve">Ystad</t>
  </si>
  <si>
    <t xml:space="preserve">Österåker</t>
  </si>
  <si>
    <t xml:space="preserve">Herrljunga</t>
  </si>
  <si>
    <t xml:space="preserve">Åstorp</t>
  </si>
  <si>
    <t xml:space="preserve">Hjo</t>
  </si>
  <si>
    <t xml:space="preserve">Ängelholm</t>
  </si>
  <si>
    <t xml:space="preserve">Karlsborg</t>
  </si>
  <si>
    <t xml:space="preserve">Östra Göinge</t>
  </si>
  <si>
    <t xml:space="preserve">Lidköping</t>
  </si>
  <si>
    <t xml:space="preserve">Osby</t>
  </si>
  <si>
    <t xml:space="preserve">Lilla Edet</t>
  </si>
  <si>
    <t xml:space="preserve">Örkelljunga</t>
  </si>
  <si>
    <t xml:space="preserve">Mariestad</t>
  </si>
  <si>
    <t xml:space="preserve">Mark</t>
  </si>
  <si>
    <t xml:space="preserve">Mellerud</t>
  </si>
  <si>
    <t xml:space="preserve">Munkedal</t>
  </si>
  <si>
    <t xml:space="preserve">Skara</t>
  </si>
  <si>
    <t xml:space="preserve">Primärtalsort</t>
  </si>
  <si>
    <t xml:space="preserve">DVUT ort</t>
  </si>
  <si>
    <t xml:space="preserve">DVUT Ortnr</t>
  </si>
  <si>
    <t xml:space="preserve">Latitud</t>
  </si>
  <si>
    <t xml:space="preserve">1-dygn</t>
  </si>
  <si>
    <t xml:space="preserve">2-dygn</t>
  </si>
  <si>
    <t xml:space="preserve">3-dygn</t>
  </si>
  <si>
    <t xml:space="preserve">4-dygn</t>
  </si>
  <si>
    <t xml:space="preserve">5-dygn</t>
  </si>
  <si>
    <t xml:space="preserve">6-dygn</t>
  </si>
  <si>
    <t xml:space="preserve">7-dygn</t>
  </si>
  <si>
    <t xml:space="preserve">8-dygn</t>
  </si>
  <si>
    <t xml:space="preserve">9-dygn</t>
  </si>
  <si>
    <t xml:space="preserve">10-dygn</t>
  </si>
  <si>
    <t xml:space="preserve">11-dygn</t>
  </si>
  <si>
    <t xml:space="preserve">12-dygn</t>
  </si>
  <si>
    <t xml:space="preserve">Skövde</t>
  </si>
  <si>
    <t xml:space="preserve">Svenljunga</t>
  </si>
  <si>
    <t xml:space="preserve">Tibro</t>
  </si>
  <si>
    <t xml:space="preserve">Tidaholm</t>
  </si>
  <si>
    <t xml:space="preserve">Trollhättan</t>
  </si>
  <si>
    <t xml:space="preserve">Töreboda</t>
  </si>
  <si>
    <t xml:space="preserve">Vara</t>
  </si>
  <si>
    <t xml:space="preserve">Vårgårda</t>
  </si>
  <si>
    <t xml:space="preserve">Vänersborg</t>
  </si>
  <si>
    <t xml:space="preserve">Åmål</t>
  </si>
  <si>
    <t xml:space="preserve">Tranemo</t>
  </si>
  <si>
    <t xml:space="preserve">Ulricehamn</t>
  </si>
  <si>
    <t xml:space="preserve">Originaldata att utgå från om det sker ändringar i BBR</t>
  </si>
  <si>
    <t xml:space="preserve">Kommun</t>
  </si>
  <si>
    <t xml:space="preserve">Dimensionerande Vinterutetemperatur DVUT baserat på temperatur 1981-2010 - Framtaget av SMHI på uppdrag av Boverket 2016</t>
  </si>
  <si>
    <t xml:space="preserve">Avvikande DVUT-orter</t>
  </si>
  <si>
    <t xml:space="preserve">Primärort</t>
  </si>
  <si>
    <t xml:space="preserve">DVUT Ort</t>
  </si>
  <si>
    <t xml:space="preserve">Ortnr</t>
  </si>
  <si>
    <t xml:space="preserve">Longitud</t>
  </si>
  <si>
    <t xml:space="preserve">Fgeocopy</t>
  </si>
  <si>
    <t xml:space="preserve">Kommun i Stockholm län</t>
  </si>
  <si>
    <t xml:space="preserve">Kommun i Kronoberg län</t>
  </si>
  <si>
    <t xml:space="preserve">Kopparberg</t>
  </si>
  <si>
    <t xml:space="preserve">Charlottenberg</t>
  </si>
  <si>
    <t xml:space="preserve">Charlottenberg ligger i Eda kommun</t>
  </si>
  <si>
    <t xml:space="preserve">Edsbyn</t>
  </si>
  <si>
    <t xml:space="preserve">Kommun i Södermanland län</t>
  </si>
  <si>
    <t xml:space="preserve">Kommun i Östergötland</t>
  </si>
  <si>
    <t xml:space="preserve">Kommun i Halland utom Hylte</t>
  </si>
  <si>
    <t xml:space="preserve">Kommun i Gottland</t>
  </si>
  <si>
    <t xml:space="preserve">Kommun i Blekinge</t>
  </si>
  <si>
    <t xml:space="preserve">Broby</t>
  </si>
  <si>
    <t xml:space="preserve">Ed</t>
  </si>
  <si>
    <t xml:space="preserve">Ed ligger i Dals-ed</t>
  </si>
  <si>
    <t xml:space="preserve">Västra götaland</t>
  </si>
  <si>
    <t xml:space="preserve">Falsterbo</t>
  </si>
  <si>
    <t xml:space="preserve">Föllinge</t>
  </si>
  <si>
    <t xml:space="preserve">Utgår då den är samma som Östersund</t>
  </si>
  <si>
    <t xml:space="preserve">Hammarstrand</t>
  </si>
  <si>
    <t xml:space="preserve">Hede</t>
  </si>
  <si>
    <t xml:space="preserve">Hova</t>
  </si>
  <si>
    <t xml:space="preserve">Hyltebruk</t>
  </si>
  <si>
    <t xml:space="preserve">Kinna</t>
  </si>
  <si>
    <t xml:space="preserve">Malung</t>
  </si>
  <si>
    <t xml:space="preserve">Skutskär</t>
  </si>
  <si>
    <t xml:space="preserve">Sveg</t>
  </si>
  <si>
    <t xml:space="preserve">i härjedalen i Jämtlands län</t>
  </si>
  <si>
    <t xml:space="preserve">Svenstavik</t>
  </si>
  <si>
    <t xml:space="preserve">Utgår då den är svår att hitta primärtalsort till</t>
  </si>
  <si>
    <t xml:space="preserve">Fredrika</t>
  </si>
  <si>
    <t xml:space="preserve">DVUT utan passande orter med primärtal.</t>
  </si>
  <si>
    <t xml:space="preserve">Films Kyrkby</t>
  </si>
  <si>
    <t xml:space="preserve">Östmark</t>
  </si>
  <si>
    <t xml:space="preserve">Utgår då det finns Torsby värmland</t>
  </si>
  <si>
    <t xml:space="preserve">Tärnsjö</t>
  </si>
  <si>
    <t xml:space="preserve">Utgår Samma som Hebyi Uppsala</t>
  </si>
  <si>
    <t xml:space="preserve">Särna</t>
  </si>
  <si>
    <t xml:space="preserve">Utgår samma som  Älvdalen </t>
  </si>
  <si>
    <t xml:space="preserve">Såtenäs</t>
  </si>
  <si>
    <t xml:space="preserve">Utgår finns  lidköpings kommun i Västra götaland</t>
  </si>
  <si>
    <t xml:space="preserve">Storlien</t>
  </si>
  <si>
    <t xml:space="preserve">Utgår finns Åre kommun i jämtland</t>
  </si>
  <si>
    <t xml:space="preserve">Oxelösund</t>
  </si>
  <si>
    <t xml:space="preserve">Utgår Ovanåker finns</t>
  </si>
  <si>
    <t xml:space="preserve">Ritsem</t>
  </si>
  <si>
    <t xml:space="preserve">x</t>
  </si>
  <si>
    <t xml:space="preserve">Kvikkjokk</t>
  </si>
  <si>
    <t xml:space="preserve">Karesuando</t>
  </si>
  <si>
    <t xml:space="preserve">Junsele</t>
  </si>
  <si>
    <t xml:space="preserve">Utgår Samma som sollefteå som finns i Västernorrlands län</t>
  </si>
  <si>
    <t xml:space="preserve">Hemavan</t>
  </si>
  <si>
    <t xml:space="preserve">Samma som Storuman i Västerbotten län
Utgår då Storuman finns</t>
  </si>
  <si>
    <t xml:space="preserve">Gäddede</t>
  </si>
  <si>
    <t xml:space="preserve">Utgår då den ligger i strömsund kommun i jämtland län
Strömsund finns i båda</t>
  </si>
  <si>
    <t xml:space="preserve">Abisko</t>
  </si>
  <si>
    <t xml:space="preserve">Tännäs</t>
  </si>
  <si>
    <t xml:space="preserve">Samma som Härjedalen i Jämtlands län</t>
  </si>
  <si>
    <t xml:space="preserve">Delsbo</t>
  </si>
  <si>
    <t xml:space="preserve">Kommun i Hälsingland</t>
  </si>
  <si>
    <t xml:space="preserve">Åseda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</si>
</sst>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General"/>
    <numFmt numFmtId="166" formatCode="0.0"/>
    <numFmt numFmtId="167" formatCode="0.000"/>
    <numFmt numFmtId="168" formatCode="0.00"/>
    <numFmt numFmtId="169" formatCode="0"/>
    <numFmt numFmtId="170" formatCode="#,##0.0"/>
    <numFmt numFmtId="171" formatCode="#,##0.00"/>
    <numFmt numFmtId="172" formatCode="#,##0.000"/>
    <numFmt numFmtId="173" formatCode="#,##0"/>
    <numFmt numFmtId="174" formatCode="_-* #,##0.00\ _k_r_-;\-* #,##0.00\ _k_r_-;_-* \-??\ _k_r_-;_-@_-"/>
  </numFmts>
  <fonts count="3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sz val="10"/>
      <color rgb="FFFF3333"/>
      <name val="Arial"/>
      <family val="2"/>
      <charset val="1"/>
    </font>
    <font>
      <sz val="10"/>
      <color rgb="FFFF0000"/>
      <name val="Arial"/>
      <family val="0"/>
      <charset val="1"/>
    </font>
    <font>
      <sz val="10"/>
      <color rgb="FF000000"/>
      <name val="Arial"/>
      <family val="2"/>
      <charset val="1"/>
    </font>
    <font>
      <sz val="12"/>
      <name val="Calibri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579D1C"/>
      <name val="Arial"/>
      <family val="0"/>
      <charset val="1"/>
    </font>
    <font>
      <b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Arial"/>
      <family val="0"/>
      <charset val="1"/>
    </font>
    <font>
      <sz val="13"/>
      <name val="Arial"/>
      <family val="2"/>
      <charset val="1"/>
    </font>
    <font>
      <sz val="12"/>
      <name val="Arial"/>
      <family val="0"/>
      <charset val="1"/>
    </font>
    <font>
      <sz val="15"/>
      <name val="Arial"/>
      <family val="2"/>
      <charset val="1"/>
    </font>
    <font>
      <sz val="13"/>
      <color rgb="FF000000"/>
      <name val="Arial"/>
      <family val="2"/>
    </font>
    <font>
      <sz val="12"/>
      <color rgb="FF000000"/>
      <name val="Arial"/>
      <family val="2"/>
    </font>
    <font>
      <sz val="9.2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;Arial"/>
      <family val="2"/>
      <charset val="1"/>
    </font>
    <font>
      <sz val="10"/>
      <color rgb="FF000000"/>
      <name val="Arial;Arial"/>
      <family val="2"/>
      <charset val="1"/>
    </font>
    <font>
      <sz val="10"/>
      <color rgb="FFB2B2B2"/>
      <name val="Arial"/>
      <family val="2"/>
      <charset val="1"/>
    </font>
    <font>
      <b val="true"/>
      <sz val="12"/>
      <name val="Arial Narrow"/>
      <family val="0"/>
      <charset val="1"/>
    </font>
    <font>
      <sz val="10"/>
      <color rgb="FF808080"/>
      <name val="Arial"/>
      <family val="2"/>
      <charset val="1"/>
    </font>
    <font>
      <b val="true"/>
      <sz val="13"/>
      <name val="Arial"/>
      <family val="2"/>
      <charset val="1"/>
    </font>
    <font>
      <sz val="10"/>
      <color rgb="FF333399"/>
      <name val="Arial"/>
      <family val="0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0"/>
      <color rgb="FF579D1C"/>
      <name val="Arial"/>
      <family val="0"/>
      <charset val="1"/>
    </font>
    <font>
      <sz val="10"/>
      <color rgb="FF00800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00"/>
        <bgColor rgb="FFFFFF66"/>
      </patternFill>
    </fill>
    <fill>
      <patternFill patternType="solid">
        <fgColor rgb="FFDDDDDD"/>
        <bgColor rgb="FFEEEEEE"/>
      </patternFill>
    </fill>
    <fill>
      <patternFill patternType="solid">
        <fgColor rgb="FFFFFF66"/>
        <bgColor rgb="FFFFFF99"/>
      </patternFill>
    </fill>
    <fill>
      <patternFill patternType="solid">
        <fgColor rgb="FFCCCC99"/>
        <bgColor rgb="FFCCCCCC"/>
      </patternFill>
    </fill>
    <fill>
      <patternFill patternType="solid">
        <fgColor rgb="FFB3B3B3"/>
        <bgColor rgb="FFB2B2B2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CC9966"/>
        <bgColor rgb="FFCC9999"/>
      </patternFill>
    </fill>
    <fill>
      <patternFill patternType="solid">
        <fgColor rgb="FFFFFF99"/>
        <bgColor rgb="FFFFFF66"/>
      </patternFill>
    </fill>
    <fill>
      <patternFill patternType="solid">
        <fgColor rgb="FFCC9999"/>
        <bgColor rgb="FFCC9966"/>
      </patternFill>
    </fill>
    <fill>
      <patternFill patternType="solid">
        <fgColor rgb="FF66FF00"/>
        <bgColor rgb="FF3DEB3D"/>
      </patternFill>
    </fill>
    <fill>
      <patternFill patternType="solid">
        <fgColor rgb="FF00FF00"/>
        <bgColor rgb="FF3DEB3D"/>
      </patternFill>
    </fill>
    <fill>
      <patternFill patternType="solid">
        <fgColor rgb="FF008000"/>
        <bgColor rgb="FF008080"/>
      </patternFill>
    </fill>
    <fill>
      <patternFill patternType="solid">
        <fgColor rgb="FFCCCCCC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83CAFF"/>
        <bgColor rgb="FFBFBFB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8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8" borderId="1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70" fontId="5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13" fillId="8" borderId="1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8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8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1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13" fillId="8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14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8" borderId="1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5" fillId="8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14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2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5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8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3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4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73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9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6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5" fontId="0" fillId="9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2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11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11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14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11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13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15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1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3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3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1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16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16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1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17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17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1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1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16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1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3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3DEB3D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EEEEEE"/>
      <rgbColor rgb="FFCCFFFF"/>
      <rgbColor rgb="FF660066"/>
      <rgbColor rgb="FFCC9966"/>
      <rgbColor rgb="FF0084D1"/>
      <rgbColor rgb="FFCCCCCC"/>
      <rgbColor rgb="FF000080"/>
      <rgbColor rgb="FFFF00FF"/>
      <rgbColor rgb="FFFFFF66"/>
      <rgbColor rgb="FF00FFFF"/>
      <rgbColor rgb="FF800080"/>
      <rgbColor rgb="FFC5000B"/>
      <rgbColor rgb="FF008080"/>
      <rgbColor rgb="FF0000FF"/>
      <rgbColor rgb="FF00DCFF"/>
      <rgbColor rgb="FFCCFFFF"/>
      <rgbColor rgb="FFDDDDDD"/>
      <rgbColor rgb="FFFFFF99"/>
      <rgbColor rgb="FF83CAFF"/>
      <rgbColor rgb="FFCC9999"/>
      <rgbColor rgb="FFB3B3B3"/>
      <rgbColor rgb="FFCCCC99"/>
      <rgbColor rgb="FF3366FF"/>
      <rgbColor rgb="FF66FFFF"/>
      <rgbColor rgb="FF66FF00"/>
      <rgbColor rgb="FFFFD320"/>
      <rgbColor rgb="FFCC9900"/>
      <rgbColor rgb="FFFF3333"/>
      <rgbColor rgb="FF4F81BD"/>
      <rgbColor rgb="FFB2B2B2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sv-SE" sz="13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0" lang="sv-SE" sz="1300" spc="-1" strike="noStrike">
                <a:solidFill>
                  <a:srgbClr val="000000"/>
                </a:solidFill>
                <a:latin typeface="Arial"/>
                <a:ea typeface="Arial"/>
              </a:rPr>
              <a:t>Energitillförsel </a:t>
            </a:r>
          </a:p>
        </c:rich>
      </c:tx>
      <c:layout>
        <c:manualLayout>
          <c:xMode val="edge"/>
          <c:yMode val="edge"/>
          <c:x val="0.048048527416394"/>
          <c:y val="0.20399061032863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943171841328"/>
          <c:y val="0.359037558685446"/>
          <c:w val="0.318381355255806"/>
          <c:h val="0.498004694835681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579d1c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ffd32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cc990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66ff00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c5000b"/>
              </a:solidFill>
              <a:ln w="3240">
                <a:solidFill>
                  <a:srgbClr val="000000"/>
                </a:solidFill>
                <a:round/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Diagram!$A$10:$A$14</c:f>
              <c:strCache>
                <c:ptCount val="5"/>
                <c:pt idx="0">
                  <c:v>Internt tillskott</c:v>
                </c:pt>
                <c:pt idx="1">
                  <c:v>Solinstrålning fönster</c:v>
                </c:pt>
                <c:pt idx="2">
                  <c:v/>
                </c:pt>
                <c:pt idx="3">
                  <c:v>Jord/Berg -värmepump besparing @BEN</c:v>
                </c:pt>
                <c:pt idx="4">
                  <c:v>Inköpt energi</c:v>
                </c:pt>
              </c:strCache>
            </c:strRef>
          </c:cat>
          <c:val>
            <c:numRef>
              <c:f>Diagram!$E$32:$E$36</c:f>
              <c:numCache>
                <c:formatCode>General</c:formatCode>
                <c:ptCount val="5"/>
                <c:pt idx="0">
                  <c:v>-485</c:v>
                </c:pt>
                <c:pt idx="1">
                  <c:v>-485</c:v>
                </c:pt>
                <c:pt idx="2">
                  <c:v>0</c:v>
                </c:pt>
                <c:pt idx="3">
                  <c:v>6816</c:v>
                </c:pt>
                <c:pt idx="4">
                  <c:v>5371.82</c:v>
                </c:pt>
              </c:numCache>
            </c:numRef>
          </c:val>
        </c:ser>
        <c:firstSliceAng val="0"/>
      </c:pieChart>
      <c:spPr>
        <a:noFill/>
        <a:ln w="3240">
          <a:noFill/>
        </a:ln>
      </c:spPr>
    </c:plotArea>
    <c:legend>
      <c:legendPos val="r"/>
      <c:layout>
        <c:manualLayout>
          <c:xMode val="edge"/>
          <c:yMode val="edge"/>
          <c:x val="0.555801635109791"/>
          <c:y val="0.413815630053834"/>
          <c:w val="0.341862116833403"/>
          <c:h val="0.538271458641454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0"/>
    <c:dispBlanksAs val="zero"/>
  </c:chart>
  <c:spPr>
    <a:solidFill>
      <a:srgbClr val="ffffff"/>
    </a:solidFill>
    <a:ln w="38160">
      <a:solidFill>
        <a:srgbClr val="000000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sv-SE" sz="13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0" lang="sv-SE" sz="1300" spc="-1" strike="noStrike">
                <a:solidFill>
                  <a:srgbClr val="000000"/>
                </a:solidFill>
                <a:latin typeface="Arial"/>
                <a:ea typeface="Arial"/>
              </a:rPr>
              <a:t>Energiförbrukning uppvärmning och varmvatten kWh/år</a:t>
            </a:r>
          </a:p>
        </c:rich>
      </c:tx>
      <c:layout>
        <c:manualLayout>
          <c:xMode val="edge"/>
          <c:yMode val="edge"/>
          <c:x val="0.0531889095465201"/>
          <c:y val="0.078653180729305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574488723628"/>
          <c:y val="0.345754591429332"/>
          <c:w val="0.31590008891763"/>
          <c:h val="0.553500133084908"/>
        </c:manualLayout>
      </c:layout>
      <c:pieChart>
        <c:varyColors val="1"/>
        <c:ser>
          <c:idx val="0"/>
          <c:order val="0"/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0084d1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66ffff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83caff"/>
              </a:solidFill>
              <a:ln w="324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7e0021"/>
              </a:solidFill>
              <a:ln w="3240">
                <a:solidFill>
                  <a:srgbClr val="000000"/>
                </a:solidFill>
                <a:round/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numFmt formatCode="0" sourceLinked="1"/>
              <c:txPr>
                <a:bodyPr wrap="square"/>
                <a:lstStyle/>
                <a:p>
                  <a:pPr>
                    <a:defRPr b="0" sz="12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Diagram!$A$24:$A$28</c:f>
              <c:strCache>
                <c:ptCount val="5"/>
                <c:pt idx="0">
                  <c:v>Transmission</c:v>
                </c:pt>
                <c:pt idx="1">
                  <c:v>Ventillation+vädring</c:v>
                </c:pt>
                <c:pt idx="2">
                  <c:v>Luftläckage</c:v>
                </c:pt>
                <c:pt idx="3">
                  <c:v>Varmvatten</c:v>
                </c:pt>
                <c:pt idx="4">
                  <c:v>Installationer</c:v>
                </c:pt>
              </c:strCache>
            </c:strRef>
          </c:cat>
          <c:val>
            <c:numRef>
              <c:f>Diagram!$D$24:$D$28</c:f>
              <c:numCache>
                <c:formatCode>General</c:formatCode>
                <c:ptCount val="5"/>
                <c:pt idx="0">
                  <c:v>5000</c:v>
                </c:pt>
                <c:pt idx="1">
                  <c:v>2560</c:v>
                </c:pt>
                <c:pt idx="2">
                  <c:v>30</c:v>
                </c:pt>
                <c:pt idx="3">
                  <c:v>2800</c:v>
                </c:pt>
                <c:pt idx="4">
                  <c:v>827.82</c:v>
                </c:pt>
              </c:numCache>
            </c:numRef>
          </c:val>
        </c:ser>
        <c:firstSliceAng val="0"/>
      </c:pieChart>
      <c:spPr>
        <a:noFill/>
        <a:ln w="3240">
          <a:noFill/>
        </a:ln>
      </c:spPr>
    </c:plotArea>
    <c:legend>
      <c:legendPos val="r"/>
      <c:layout>
        <c:manualLayout>
          <c:xMode val="edge"/>
          <c:yMode val="edge"/>
          <c:x val="0.604026845637584"/>
          <c:y val="0.397887323943662"/>
          <c:w val="0.196868008948546"/>
          <c:h val="0.570422535211267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0"/>
    <c:dispBlanksAs val="zero"/>
  </c:chart>
  <c:spPr>
    <a:solidFill>
      <a:srgbClr val="ffffff"/>
    </a:solidFill>
    <a:ln w="38160">
      <a:solidFill>
        <a:srgbClr val="000000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sv-SE" sz="13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0" lang="sv-SE" sz="1300" spc="-1" strike="noStrike">
                <a:solidFill>
                  <a:srgbClr val="000000"/>
                </a:solidFill>
                <a:latin typeface="Arial"/>
                <a:ea typeface="Arial"/>
              </a:rPr>
              <a:t>Energibalans kWh/normalår</a:t>
            </a:r>
          </a:p>
        </c:rich>
      </c:tx>
      <c:layout>
        <c:manualLayout>
          <c:xMode val="edge"/>
          <c:yMode val="edge"/>
          <c:x val="0.225393700787402"/>
          <c:y val="0.05771396396396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7207752877"/>
          <c:y val="0.269496058558559"/>
          <c:w val="0.445563294972744"/>
          <c:h val="0.63379786036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Diagram!$A$24</c:f>
              <c:strCache>
                <c:ptCount val="1"/>
                <c:pt idx="0">
                  <c:v>Transmission</c:v>
                </c:pt>
              </c:strCache>
            </c:strRef>
          </c:tx>
          <c:spPr>
            <a:solidFill>
              <a:srgbClr val="004586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Diagram!$D$24:$E$24</c:f>
              <c:numCache>
                <c:formatCode>General</c:formatCode>
                <c:ptCount val="2"/>
                <c:pt idx="0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Diagram!$A$25</c:f>
              <c:strCache>
                <c:ptCount val="1"/>
                <c:pt idx="0">
                  <c:v>Ventillation+vädring</c:v>
                </c:pt>
              </c:strCache>
            </c:strRef>
          </c:tx>
          <c:spPr>
            <a:solidFill>
              <a:srgbClr val="0084d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Diagram!$D$25:$E$25</c:f>
              <c:numCache>
                <c:formatCode>General</c:formatCode>
                <c:ptCount val="2"/>
                <c:pt idx="0">
                  <c:v>2560</c:v>
                </c:pt>
              </c:numCache>
            </c:numRef>
          </c:val>
        </c:ser>
        <c:ser>
          <c:idx val="2"/>
          <c:order val="2"/>
          <c:tx>
            <c:strRef>
              <c:f>Diagram!$A$26</c:f>
              <c:strCache>
                <c:ptCount val="1"/>
                <c:pt idx="0">
                  <c:v>Luftläckage</c:v>
                </c:pt>
              </c:strCache>
            </c:strRef>
          </c:tx>
          <c:spPr>
            <a:solidFill>
              <a:srgbClr val="00dcff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Diagram!$D$26:$E$26</c:f>
              <c:numCache>
                <c:formatCode>General</c:formatCode>
                <c:ptCount val="2"/>
                <c:pt idx="0">
                  <c:v>30</c:v>
                </c:pt>
              </c:numCache>
            </c:numRef>
          </c:val>
        </c:ser>
        <c:ser>
          <c:idx val="3"/>
          <c:order val="3"/>
          <c:tx>
            <c:strRef>
              <c:f>Diagram!$A$27</c:f>
              <c:strCache>
                <c:ptCount val="1"/>
                <c:pt idx="0">
                  <c:v>Varmvatten</c:v>
                </c:pt>
              </c:strCache>
            </c:strRef>
          </c:tx>
          <c:spPr>
            <a:solidFill>
              <a:srgbClr val="83caff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Diagram!$D$27:$E$27</c:f>
              <c:numCache>
                <c:formatCode>General</c:formatCode>
                <c:ptCount val="2"/>
                <c:pt idx="0">
                  <c:v>2800</c:v>
                </c:pt>
              </c:numCache>
            </c:numRef>
          </c:val>
        </c:ser>
        <c:ser>
          <c:idx val="4"/>
          <c:order val="4"/>
          <c:tx>
            <c:strRef>
              <c:f>Diagram!$A$28</c:f>
              <c:strCache>
                <c:ptCount val="1"/>
                <c:pt idx="0">
                  <c:v>Installationer</c:v>
                </c:pt>
              </c:strCache>
            </c:strRef>
          </c:tx>
          <c:spPr>
            <a:solidFill>
              <a:srgbClr val="7e0021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Diagram!$D$28:$E$28</c:f>
              <c:numCache>
                <c:formatCode>General</c:formatCode>
                <c:ptCount val="2"/>
                <c:pt idx="0">
                  <c:v>827.82</c:v>
                </c:pt>
              </c:numCache>
            </c:numRef>
          </c:val>
        </c:ser>
        <c:ser>
          <c:idx val="5"/>
          <c:order val="5"/>
          <c:tx>
            <c:strRef>
              <c:f>Diagram!$A$10</c:f>
              <c:strCache>
                <c:ptCount val="1"/>
                <c:pt idx="0">
                  <c:v>Internt tillskott</c:v>
                </c:pt>
              </c:strCache>
            </c:strRef>
          </c:tx>
          <c:spPr>
            <a:solidFill>
              <a:srgbClr val="579d1c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Diagram!$D$32:$E$32</c:f>
              <c:numCache>
                <c:formatCode>General</c:formatCode>
                <c:ptCount val="2"/>
                <c:pt idx="1">
                  <c:v>-485</c:v>
                </c:pt>
              </c:numCache>
            </c:numRef>
          </c:val>
        </c:ser>
        <c:ser>
          <c:idx val="6"/>
          <c:order val="6"/>
          <c:tx>
            <c:strRef>
              <c:f>Diagram!$A$11</c:f>
              <c:strCache>
                <c:ptCount val="1"/>
                <c:pt idx="0">
                  <c:v>Solinstrålning fönster</c:v>
                </c:pt>
              </c:strCache>
            </c:strRef>
          </c:tx>
          <c:spPr>
            <a:solidFill>
              <a:srgbClr val="ffd320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Diagram!$D$33:$E$33</c:f>
              <c:numCache>
                <c:formatCode>General</c:formatCode>
                <c:ptCount val="2"/>
                <c:pt idx="1">
                  <c:v>-485</c:v>
                </c:pt>
              </c:numCache>
            </c:numRef>
          </c:val>
        </c:ser>
        <c:ser>
          <c:idx val="7"/>
          <c:order val="7"/>
          <c:tx>
            <c:strRef>
              <c:f>Diagram!$A$12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9900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Diagram!$D$34:$E$34</c:f>
              <c:numCache>
                <c:formatCode>General</c:formatCode>
                <c:ptCount val="2"/>
                <c:pt idx="1">
                  <c:v>0</c:v>
                </c:pt>
              </c:numCache>
            </c:numRef>
          </c:val>
        </c:ser>
        <c:ser>
          <c:idx val="8"/>
          <c:order val="8"/>
          <c:tx>
            <c:strRef>
              <c:f>Diagram!$A$13</c:f>
              <c:strCache>
                <c:ptCount val="1"/>
                <c:pt idx="0">
                  <c:v>Jord/Berg -värmepump besparing @BEN</c:v>
                </c:pt>
              </c:strCache>
            </c:strRef>
          </c:tx>
          <c:spPr>
            <a:solidFill>
              <a:srgbClr val="3deb3d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Diagram!$D$35:$E$35</c:f>
              <c:numCache>
                <c:formatCode>General</c:formatCode>
                <c:ptCount val="2"/>
                <c:pt idx="1">
                  <c:v>6816</c:v>
                </c:pt>
              </c:numCache>
            </c:numRef>
          </c:val>
        </c:ser>
        <c:ser>
          <c:idx val="9"/>
          <c:order val="9"/>
          <c:tx>
            <c:strRef>
              <c:f>Diagram!$A$14</c:f>
              <c:strCache>
                <c:ptCount val="1"/>
                <c:pt idx="0">
                  <c:v>Inköpt energi</c:v>
                </c:pt>
              </c:strCache>
            </c:strRef>
          </c:tx>
          <c:spPr>
            <a:solidFill>
              <a:srgbClr val="c5000b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Diagram!$D$36:$E$36</c:f>
              <c:numCache>
                <c:formatCode>General</c:formatCode>
                <c:ptCount val="2"/>
                <c:pt idx="1">
                  <c:v>5371.82</c:v>
                </c:pt>
              </c:numCache>
            </c:numRef>
          </c:val>
        </c:ser>
        <c:gapWidth val="100"/>
        <c:overlap val="100"/>
        <c:axId val="644190"/>
        <c:axId val="65041447"/>
      </c:barChart>
      <c:catAx>
        <c:axId val="64419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5041447"/>
        <c:crossesAt val="0"/>
        <c:auto val="1"/>
        <c:lblAlgn val="ctr"/>
        <c:lblOffset val="100"/>
        <c:noMultiLvlLbl val="0"/>
      </c:catAx>
      <c:valAx>
        <c:axId val="65041447"/>
        <c:scaling>
          <c:orientation val="minMax"/>
        </c:scaling>
        <c:delete val="0"/>
        <c:axPos val="l"/>
        <c:majorGridlines>
          <c:spPr>
            <a:ln w="3240">
              <a:solidFill>
                <a:srgbClr val="b3b3b3"/>
              </a:solidFill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ln w="324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644190"/>
        <c:crosses val="autoZero"/>
        <c:crossBetween val="between"/>
      </c:valAx>
      <c:spPr>
        <a:noFill/>
        <a:ln w="324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598606525337245"/>
          <c:y val="0.286992207760694"/>
          <c:w val="0.301353285015668"/>
          <c:h val="0.635482745755823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92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0"/>
    <c:dispBlanksAs val="gap"/>
  </c:chart>
  <c:spPr>
    <a:solidFill>
      <a:srgbClr val="ffffff"/>
    </a:solidFill>
    <a:ln w="381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20</xdr:row>
      <xdr:rowOff>2048040</xdr:rowOff>
    </xdr:from>
    <xdr:to>
      <xdr:col>2</xdr:col>
      <xdr:colOff>990000</xdr:colOff>
      <xdr:row>20</xdr:row>
      <xdr:rowOff>5114880</xdr:rowOff>
    </xdr:to>
    <xdr:graphicFrame>
      <xdr:nvGraphicFramePr>
        <xdr:cNvPr id="0" name="Chart 1"/>
        <xdr:cNvGraphicFramePr/>
      </xdr:nvGraphicFramePr>
      <xdr:xfrm>
        <a:off x="28440" y="6629400"/>
        <a:ext cx="4510080" cy="306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19080</xdr:colOff>
      <xdr:row>20</xdr:row>
      <xdr:rowOff>0</xdr:rowOff>
    </xdr:from>
    <xdr:to>
      <xdr:col>2</xdr:col>
      <xdr:colOff>923760</xdr:colOff>
      <xdr:row>20</xdr:row>
      <xdr:rowOff>2704680</xdr:rowOff>
    </xdr:to>
    <xdr:graphicFrame>
      <xdr:nvGraphicFramePr>
        <xdr:cNvPr id="1" name="Chart 3"/>
        <xdr:cNvGraphicFramePr/>
      </xdr:nvGraphicFramePr>
      <xdr:xfrm>
        <a:off x="19080" y="4581360"/>
        <a:ext cx="4453200" cy="270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504720</xdr:colOff>
      <xdr:row>20</xdr:row>
      <xdr:rowOff>0</xdr:rowOff>
    </xdr:from>
    <xdr:to>
      <xdr:col>3</xdr:col>
      <xdr:colOff>4009680</xdr:colOff>
      <xdr:row>20</xdr:row>
      <xdr:rowOff>5114520</xdr:rowOff>
    </xdr:to>
    <xdr:graphicFrame>
      <xdr:nvGraphicFramePr>
        <xdr:cNvPr id="2" name="Chart 2"/>
        <xdr:cNvGraphicFramePr/>
      </xdr:nvGraphicFramePr>
      <xdr:xfrm>
        <a:off x="4053240" y="4581360"/>
        <a:ext cx="4754520" cy="51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47.14"/>
    <col collapsed="false" customWidth="true" hidden="false" outlineLevel="0" max="3" min="3" style="0" width="20.71"/>
    <col collapsed="false" customWidth="true" hidden="false" outlineLevel="0" max="4" min="4" style="0" width="30.01"/>
    <col collapsed="false" customWidth="true" hidden="false" outlineLevel="0" max="10" min="6" style="0" width="11.71"/>
    <col collapsed="false" customWidth="true" hidden="false" outlineLevel="0" max="15" min="15" style="0" width="2.71"/>
    <col collapsed="false" customWidth="true" hidden="false" outlineLevel="0" max="16" min="16" style="0" width="46.14"/>
    <col collapsed="false" customWidth="true" hidden="false" outlineLevel="0" max="17" min="17" style="0" width="9.29"/>
    <col collapsed="false" customWidth="true" hidden="false" outlineLevel="0" max="18" min="18" style="1" width="11.71"/>
    <col collapsed="false" customWidth="true" hidden="false" outlineLevel="0" max="19" min="19" style="0" width="11.42"/>
    <col collapsed="false" customWidth="true" hidden="false" outlineLevel="0" max="20" min="20" style="0" width="8.29"/>
    <col collapsed="false" customWidth="true" hidden="false" outlineLevel="0" max="21" min="21" style="0" width="6.71"/>
    <col collapsed="false" customWidth="true" hidden="false" outlineLevel="0" max="22" min="22" style="0" width="5.01"/>
  </cols>
  <sheetData>
    <row r="1" customFormat="false" ht="70.5" hidden="false" customHeight="true" outlineLevel="0" collapsed="false">
      <c r="A1" s="2"/>
      <c r="B1" s="3" t="str">
        <f aca="false">IF((D7="Lokal"),"Energibalansrapport projekterad energiförbrukning enligt BBR 30","Energibalansrapport projekterad energiförbrukning enligt BBR  30 / BEN 1 med ändringar t.o.m BEN 3")</f>
        <v>Energibalansrapport projekterad energiförbrukning enligt BBR  30 / BEN 1 med ändringar t.o.m BEN 3</v>
      </c>
      <c r="C1" s="4"/>
      <c r="D1" s="5"/>
      <c r="E1" s="6"/>
      <c r="F1" s="7"/>
      <c r="G1" s="7"/>
      <c r="H1" s="7"/>
      <c r="I1" s="7"/>
    </row>
    <row r="2" customFormat="false" ht="12.75" hidden="false" customHeight="true" outlineLevel="0" collapsed="false">
      <c r="A2" s="2"/>
      <c r="B2" s="8"/>
      <c r="C2" s="8"/>
      <c r="D2" s="5"/>
      <c r="E2" s="6"/>
      <c r="F2" s="7"/>
      <c r="G2" s="7"/>
      <c r="H2" s="7"/>
      <c r="I2" s="7"/>
    </row>
    <row r="3" customFormat="false" ht="18.75" hidden="false" customHeight="true" outlineLevel="0" collapsed="false">
      <c r="A3" s="2"/>
      <c r="B3" s="9" t="s">
        <v>0</v>
      </c>
      <c r="C3" s="10"/>
      <c r="D3" s="10"/>
      <c r="E3" s="11"/>
      <c r="F3" s="7"/>
      <c r="G3" s="7"/>
      <c r="H3" s="7"/>
      <c r="I3" s="7"/>
    </row>
    <row r="4" customFormat="false" ht="16.5" hidden="false" customHeight="true" outlineLevel="0" collapsed="false">
      <c r="A4" s="2"/>
      <c r="B4" s="9" t="s">
        <v>1</v>
      </c>
      <c r="C4" s="10"/>
      <c r="D4" s="10"/>
      <c r="E4" s="6"/>
      <c r="F4" s="7"/>
      <c r="G4" s="7"/>
      <c r="H4" s="7"/>
      <c r="I4" s="7"/>
    </row>
    <row r="5" customFormat="false" ht="16.5" hidden="false" customHeight="true" outlineLevel="0" collapsed="false">
      <c r="A5" s="2"/>
      <c r="B5" s="9" t="s">
        <v>2</v>
      </c>
      <c r="C5" s="12"/>
      <c r="D5" s="13" t="s">
        <v>3</v>
      </c>
      <c r="E5" s="14"/>
      <c r="F5" s="15"/>
      <c r="G5" s="15"/>
      <c r="H5" s="15"/>
      <c r="I5" s="15"/>
    </row>
    <row r="6" customFormat="false" ht="16.5" hidden="false" customHeight="true" outlineLevel="0" collapsed="false">
      <c r="A6" s="2"/>
      <c r="B6" s="9" t="s">
        <v>4</v>
      </c>
      <c r="C6" s="12"/>
      <c r="D6" s="13" t="s">
        <v>3</v>
      </c>
      <c r="E6" s="16" t="str">
        <f aca="true">IF((ISNA(VLOOKUP(D6,INDIRECT(D5),1,FALSE()))),"Kommun ej vald !!!","")</f>
        <v/>
      </c>
      <c r="F6" s="15"/>
      <c r="G6" s="15"/>
      <c r="H6" s="15"/>
      <c r="I6" s="15"/>
    </row>
    <row r="7" customFormat="false" ht="16.5" hidden="false" customHeight="true" outlineLevel="0" collapsed="false">
      <c r="A7" s="2"/>
      <c r="B7" s="9" t="s">
        <v>5</v>
      </c>
      <c r="C7" s="17" t="str">
        <f aca="false">IF((D7=('Indata bostäder.'!D7))+(D7="Lokal"),"","diff indata")</f>
        <v/>
      </c>
      <c r="D7" s="18" t="str">
        <f aca="false">'Indata bostäder.'!D7</f>
        <v>Småhus &gt;130 m2</v>
      </c>
      <c r="E7" s="14"/>
      <c r="F7" s="15"/>
      <c r="G7" s="15"/>
      <c r="H7" s="15"/>
      <c r="I7" s="15"/>
    </row>
    <row r="8" customFormat="false" ht="16.5" hidden="false" customHeight="true" outlineLevel="0" collapsed="false">
      <c r="A8" s="2"/>
      <c r="B8" s="9" t="str">
        <f aca="false">IF(D69="Lokal","","Antal bostäder")</f>
        <v>Antal bostäder</v>
      </c>
      <c r="C8" s="17" t="str">
        <f aca="false">IF((D8=('Indata bostäder.'!D16)),"","diff indata")</f>
        <v/>
      </c>
      <c r="D8" s="19" t="n">
        <f aca="false">'Indata bostäder.'!D16</f>
        <v>1</v>
      </c>
      <c r="E8" s="14"/>
      <c r="F8" s="15"/>
      <c r="G8" s="15"/>
      <c r="H8" s="15"/>
      <c r="I8" s="15"/>
    </row>
    <row r="9" customFormat="false" ht="16.5" hidden="false" customHeight="true" outlineLevel="0" collapsed="false">
      <c r="A9" s="2"/>
      <c r="B9" s="9" t="s">
        <v>6</v>
      </c>
      <c r="C9" s="12"/>
      <c r="D9" s="20" t="str">
        <f aca="false">Data!B42</f>
        <v>Stockholm</v>
      </c>
      <c r="E9" s="14"/>
      <c r="F9" s="15"/>
      <c r="G9" s="15"/>
      <c r="H9" s="15"/>
      <c r="I9" s="15"/>
    </row>
    <row r="10" customFormat="false" ht="16.5" hidden="false" customHeight="true" outlineLevel="0" collapsed="false">
      <c r="A10" s="2"/>
      <c r="B10" s="9" t="str">
        <f aca="false">CONCATENATE("Dimensionerande temperatur (DVUT) i ",D9, " ",Q243, "-dygn")</f>
        <v>Dimensionerande temperatur (DVUT) i Stockholm 4-dygn</v>
      </c>
      <c r="C10" s="21" t="s">
        <v>7</v>
      </c>
      <c r="D10" s="22" t="n">
        <f aca="false">R244</f>
        <v>-13.7</v>
      </c>
      <c r="E10" s="14"/>
      <c r="F10" s="15"/>
      <c r="G10" s="15"/>
      <c r="H10" s="15"/>
      <c r="I10" s="15"/>
    </row>
    <row r="11" customFormat="false" ht="12.75" hidden="false" customHeight="true" outlineLevel="0" collapsed="false">
      <c r="A11" s="2"/>
      <c r="B11" s="23" t="str">
        <f aca="false">CONCATENATE("Dimensionerande innetemperatur  ")</f>
        <v>Dimensionerande innetemperatur  </v>
      </c>
      <c r="C11" s="21" t="s">
        <v>7</v>
      </c>
      <c r="D11" s="24" t="n">
        <f aca="false">IF(D7="Lokal",'Indata Lokaler'!B59,'Indata bostäder.'!D9)</f>
        <v>21</v>
      </c>
      <c r="E11" s="2"/>
      <c r="F11" s="15"/>
    </row>
    <row r="12" customFormat="false" ht="16.5" hidden="false" customHeight="true" outlineLevel="0" collapsed="false">
      <c r="A12" s="2"/>
      <c r="B12" s="9" t="s">
        <v>8</v>
      </c>
      <c r="C12" s="21" t="s">
        <v>9</v>
      </c>
      <c r="D12" s="13" t="n">
        <v>93</v>
      </c>
      <c r="E12" s="25" t="str">
        <f aca="false">IF(D12&gt;95,"Särskild utredning krävs för mer än 95 timmar","")</f>
        <v/>
      </c>
      <c r="F12" s="15"/>
      <c r="G12" s="15"/>
      <c r="H12" s="15"/>
      <c r="I12" s="15"/>
    </row>
    <row r="13" customFormat="false" ht="16.5" hidden="false" customHeight="true" outlineLevel="0" collapsed="false">
      <c r="A13" s="2"/>
      <c r="B13" s="9" t="s">
        <v>10</v>
      </c>
      <c r="C13" s="21" t="s">
        <v>11</v>
      </c>
      <c r="D13" s="13" t="n">
        <v>120</v>
      </c>
      <c r="E13" s="25"/>
      <c r="F13" s="26"/>
      <c r="G13" s="15"/>
      <c r="H13" s="15"/>
      <c r="I13" s="15"/>
    </row>
    <row r="14" customFormat="false" ht="18" hidden="false" customHeight="true" outlineLevel="0" collapsed="false">
      <c r="A14" s="2"/>
      <c r="B14" s="27" t="str">
        <f aca="false">CONCATENATE("Geografisk faktor 'Fgeo' för ",D6)</f>
        <v>Geografisk faktor 'Fgeo' för Stockholm</v>
      </c>
      <c r="C14" s="9"/>
      <c r="D14" s="28" t="n">
        <f aca="false">C247</f>
        <v>1</v>
      </c>
      <c r="E14" s="29"/>
      <c r="F14" s="30"/>
      <c r="G14" s="30"/>
      <c r="H14" s="30"/>
      <c r="I14" s="30"/>
    </row>
    <row r="15" customFormat="false" ht="31.5" hidden="false" customHeight="true" outlineLevel="0" collapsed="false">
      <c r="A15" s="2"/>
      <c r="B15" s="27" t="s">
        <v>12</v>
      </c>
      <c r="C15" s="9" t="s">
        <v>13</v>
      </c>
      <c r="D15" s="31" t="n">
        <v>0.2</v>
      </c>
      <c r="E15" s="32"/>
      <c r="F15" s="33"/>
      <c r="G15" s="33"/>
      <c r="H15" s="33"/>
      <c r="I15" s="33"/>
    </row>
    <row r="16" customFormat="false" ht="16.5" hidden="false" customHeight="true" outlineLevel="0" collapsed="false">
      <c r="A16" s="2"/>
      <c r="B16" s="9" t="s">
        <v>14</v>
      </c>
      <c r="C16" s="9" t="s">
        <v>15</v>
      </c>
      <c r="D16" s="34" t="n">
        <v>140</v>
      </c>
      <c r="E16" s="35" t="str">
        <f aca="false">IF(L202,"Areafel","")</f>
        <v/>
      </c>
      <c r="F16" s="15"/>
      <c r="G16" s="15"/>
      <c r="H16" s="15"/>
      <c r="I16" s="15"/>
    </row>
    <row r="17" customFormat="false" ht="12.75" hidden="false" customHeight="true" outlineLevel="0" collapsed="false">
      <c r="A17" s="2"/>
      <c r="B17" s="36"/>
      <c r="C17" s="37"/>
      <c r="D17" s="38"/>
      <c r="E17" s="14"/>
      <c r="F17" s="15"/>
      <c r="G17" s="15"/>
      <c r="H17" s="15"/>
      <c r="I17" s="15"/>
    </row>
    <row r="18" customFormat="false" ht="27.75" hidden="false" customHeight="true" outlineLevel="0" collapsed="false">
      <c r="A18" s="39" t="s">
        <v>16</v>
      </c>
      <c r="B18" s="37"/>
      <c r="C18" s="37"/>
      <c r="D18" s="38"/>
      <c r="E18" s="14"/>
      <c r="F18" s="15"/>
      <c r="G18" s="15"/>
      <c r="H18" s="15"/>
      <c r="I18" s="15"/>
    </row>
    <row r="19" customFormat="false" ht="18" hidden="false" customHeight="true" outlineLevel="0" collapsed="false">
      <c r="A19" s="40" t="s">
        <v>17</v>
      </c>
      <c r="B19" s="2"/>
      <c r="C19" s="41"/>
      <c r="D19" s="38"/>
      <c r="E19" s="19"/>
      <c r="F19" s="42"/>
      <c r="G19" s="42"/>
      <c r="H19" s="42"/>
      <c r="I19" s="42"/>
      <c r="J19" s="43"/>
      <c r="L19" s="43"/>
      <c r="M19" s="43"/>
      <c r="N19" s="43"/>
      <c r="O19" s="43"/>
      <c r="P19" s="43"/>
      <c r="Q19" s="43"/>
      <c r="R19" s="44"/>
      <c r="S19" s="43"/>
      <c r="T19" s="43"/>
      <c r="U19" s="43"/>
      <c r="V19" s="43"/>
    </row>
    <row r="20" customFormat="false" ht="23.25" hidden="false" customHeight="true" outlineLevel="0" collapsed="false">
      <c r="A20" s="45"/>
      <c r="B20" s="46" t="s">
        <v>18</v>
      </c>
      <c r="C20" s="9" t="s">
        <v>19</v>
      </c>
      <c r="D20" s="34" t="n">
        <v>8000</v>
      </c>
      <c r="E20" s="19"/>
      <c r="F20" s="42"/>
      <c r="G20" s="42"/>
      <c r="H20" s="42"/>
      <c r="I20" s="42"/>
      <c r="J20" s="43"/>
      <c r="K20" s="43"/>
      <c r="L20" s="43"/>
      <c r="M20" s="43"/>
      <c r="N20" s="43"/>
      <c r="O20" s="43"/>
      <c r="P20" s="43"/>
      <c r="Q20" s="43"/>
      <c r="R20" s="44"/>
      <c r="S20" s="43"/>
      <c r="T20" s="43"/>
      <c r="U20" s="43"/>
      <c r="V20" s="43"/>
    </row>
    <row r="21" customFormat="false" ht="16.5" hidden="false" customHeight="true" outlineLevel="0" collapsed="false">
      <c r="A21" s="2"/>
      <c r="B21" s="46" t="str">
        <f aca="false">IF((D7="Lokal"),"Beräknad energi vädringspåslag","Beräknad energi vädringspåslag (4 kWh/m2/år)")</f>
        <v>Beräknad energi vädringspåslag (4 kWh/m2/år)</v>
      </c>
      <c r="C21" s="9" t="s">
        <v>19</v>
      </c>
      <c r="D21" s="47" t="n">
        <f aca="false">D16*4</f>
        <v>560</v>
      </c>
      <c r="E21" s="19"/>
      <c r="F21" s="48"/>
      <c r="G21" s="48"/>
      <c r="H21" s="48"/>
      <c r="I21" s="48"/>
      <c r="J21" s="49"/>
      <c r="K21" s="49"/>
      <c r="L21" s="49"/>
      <c r="M21" s="49"/>
      <c r="N21" s="49"/>
      <c r="O21" s="49"/>
      <c r="P21" s="49"/>
    </row>
    <row r="22" customFormat="false" ht="34.5" hidden="false" customHeight="true" outlineLevel="0" collapsed="false">
      <c r="A22" s="2"/>
      <c r="B22" s="50" t="s">
        <v>20</v>
      </c>
      <c r="C22" s="9" t="s">
        <v>21</v>
      </c>
      <c r="D22" s="51" t="n">
        <v>0</v>
      </c>
      <c r="E22" s="52" t="str">
        <f aca="false">IF((B22="Skriv över med egen rubrik för eventuell gratienergi som t.ex Solfångare")*D22&gt;0,"Värde över 0 måste ha rubrik.","")</f>
        <v/>
      </c>
      <c r="F22" s="48"/>
      <c r="G22" s="48"/>
      <c r="H22" s="48"/>
      <c r="I22" s="48"/>
      <c r="J22" s="49"/>
      <c r="K22" s="49"/>
      <c r="L22" s="49"/>
      <c r="M22" s="49"/>
      <c r="N22" s="49"/>
      <c r="O22" s="49"/>
      <c r="P22" s="49"/>
    </row>
    <row r="23" customFormat="false" ht="16.5" hidden="false" customHeight="true" outlineLevel="0" collapsed="false">
      <c r="A23" s="2"/>
      <c r="B23" s="46" t="s">
        <v>22</v>
      </c>
      <c r="C23" s="53"/>
      <c r="D23" s="54" t="s">
        <v>23</v>
      </c>
      <c r="E23" s="14"/>
      <c r="F23" s="48"/>
      <c r="G23" s="48"/>
      <c r="H23" s="48"/>
      <c r="I23" s="48"/>
      <c r="J23" s="49"/>
      <c r="K23" s="49"/>
      <c r="L23" s="49"/>
      <c r="M23" s="49"/>
      <c r="N23" s="49"/>
      <c r="O23" s="49"/>
      <c r="P23" s="49"/>
    </row>
    <row r="24" customFormat="false" ht="21.75" hidden="false" customHeight="true" outlineLevel="0" collapsed="false">
      <c r="A24" s="45"/>
      <c r="B24" s="46" t="s">
        <v>24</v>
      </c>
      <c r="C24" s="55" t="s">
        <v>25</v>
      </c>
      <c r="D24" s="56" t="n">
        <f aca="false">C230</f>
        <v>2.5</v>
      </c>
      <c r="E24" s="19" t="str">
        <f aca="false">IF((C230&lt;&gt;D24),"manuellt ändrad","")</f>
        <v/>
      </c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3"/>
      <c r="R24" s="44"/>
      <c r="S24" s="43"/>
      <c r="T24" s="43"/>
      <c r="U24" s="43"/>
      <c r="V24" s="43"/>
    </row>
    <row r="25" customFormat="false" ht="30" hidden="false" customHeight="true" outlineLevel="0" collapsed="false">
      <c r="A25" s="45"/>
      <c r="B25" s="46" t="s">
        <v>26</v>
      </c>
      <c r="C25" s="9" t="s">
        <v>19</v>
      </c>
      <c r="D25" s="57" t="n">
        <f aca="false">(D20+D21-D22)/D24</f>
        <v>3424</v>
      </c>
      <c r="E25" s="19"/>
      <c r="F25" s="42"/>
      <c r="G25" s="42"/>
      <c r="H25" s="42"/>
      <c r="I25" s="42"/>
      <c r="J25" s="43"/>
      <c r="K25" s="43"/>
      <c r="L25" s="43"/>
      <c r="M25" s="43"/>
      <c r="N25" s="43"/>
      <c r="O25" s="43"/>
      <c r="P25" s="43"/>
      <c r="Q25" s="43"/>
      <c r="R25" s="44"/>
      <c r="S25" s="43"/>
      <c r="T25" s="43"/>
      <c r="U25" s="43"/>
      <c r="V25" s="43"/>
    </row>
    <row r="26" customFormat="false" ht="30" hidden="false" customHeight="true" outlineLevel="0" collapsed="false">
      <c r="A26" s="45"/>
      <c r="B26" s="46" t="str">
        <f aca="false">CONCATENATE("Netto energi (köpt) för uppvärmning och ventillation /",D14," (Fgeo ",D6,")")</f>
        <v>Netto energi (köpt) för uppvärmning och ventillation /1 (Fgeo Stockholm)</v>
      </c>
      <c r="C26" s="9" t="s">
        <v>27</v>
      </c>
      <c r="D26" s="57" t="n">
        <f aca="false">D25/D14</f>
        <v>3424</v>
      </c>
      <c r="E26" s="19"/>
      <c r="F26" s="42"/>
      <c r="G26" s="42"/>
      <c r="H26" s="42"/>
      <c r="I26" s="42"/>
      <c r="J26" s="43"/>
      <c r="K26" s="43"/>
      <c r="L26" s="43"/>
      <c r="M26" s="43"/>
      <c r="N26" s="43"/>
      <c r="O26" s="43"/>
      <c r="P26" s="43"/>
      <c r="Q26" s="43"/>
      <c r="R26" s="44"/>
      <c r="S26" s="43"/>
      <c r="T26" s="43"/>
      <c r="U26" s="43"/>
      <c r="V26" s="43"/>
    </row>
    <row r="27" customFormat="false" ht="30" hidden="false" customHeight="true" outlineLevel="0" collapsed="false">
      <c r="A27" s="45"/>
      <c r="B27" s="46" t="str">
        <f aca="false">CONCATENATE("Erforderlig brutto värmeeffekt för uppvärmning av byggnaden vid ", 'Indata bostäder.'!D9," C° inne och DVUT ",D10,C10," :   ")</f>
        <v>Erforderlig brutto värmeeffekt för uppvärmning av byggnaden vid 21 C° inne och DVUT -13,7 C° :   </v>
      </c>
      <c r="C27" s="9" t="s">
        <v>28</v>
      </c>
      <c r="D27" s="58" t="n">
        <f aca="false">ROUND((D11-D10)*D13/(1000),2)</f>
        <v>4.16</v>
      </c>
      <c r="E27" s="19"/>
      <c r="F27" s="42"/>
      <c r="G27" s="42"/>
      <c r="H27" s="42"/>
      <c r="I27" s="42"/>
      <c r="J27" s="43"/>
      <c r="K27" s="43"/>
      <c r="L27" s="43"/>
      <c r="M27" s="43"/>
      <c r="N27" s="43"/>
      <c r="O27" s="43"/>
      <c r="P27" s="43"/>
      <c r="Q27" s="43"/>
      <c r="R27" s="44"/>
      <c r="S27" s="43"/>
      <c r="T27" s="43"/>
      <c r="U27" s="43"/>
      <c r="V27" s="43"/>
    </row>
    <row r="28" customFormat="false" ht="30" hidden="false" customHeight="true" outlineLevel="0" collapsed="false">
      <c r="A28" s="2"/>
      <c r="B28" s="46" t="str">
        <f aca="false">CONCATENATE("Verkningsgrad vid DVUT ",D10," för beräkning erforderlig netto-effekt")</f>
        <v>Verkningsgrad vid DVUT -13,7 för beräkning erforderlig netto-effekt</v>
      </c>
      <c r="C28" s="55" t="s">
        <v>25</v>
      </c>
      <c r="D28" s="59" t="n">
        <f aca="false">R236</f>
        <v>2.48288888888889</v>
      </c>
      <c r="E28" s="14"/>
      <c r="F28" s="48"/>
      <c r="G28" s="48"/>
      <c r="H28" s="48"/>
      <c r="I28" s="48"/>
      <c r="J28" s="49"/>
      <c r="K28" s="49"/>
      <c r="L28" s="49"/>
      <c r="M28" s="49"/>
      <c r="N28" s="49"/>
      <c r="O28" s="49"/>
      <c r="P28" s="49"/>
    </row>
    <row r="29" customFormat="false" ht="27" hidden="false" customHeight="true" outlineLevel="0" collapsed="false">
      <c r="A29" s="45"/>
      <c r="B29" s="46" t="str">
        <f aca="false">CONCATENATE("Erforderlig netto värmeeffekt (köpt) för uppvärmning av byggnaden vid ", 'Indata bostäder.'!D9," C° inne och DVUT ",D10,C10," :   ")</f>
        <v>Erforderlig netto värmeeffekt (köpt) för uppvärmning av byggnaden vid 21 C° inne och DVUT -13,7 C° :   </v>
      </c>
      <c r="C29" s="9" t="s">
        <v>28</v>
      </c>
      <c r="D29" s="58" t="n">
        <f aca="false">ROUND((D11-D10)*D13/(1000*D28),2)</f>
        <v>1.68</v>
      </c>
      <c r="E29" s="19"/>
      <c r="F29" s="42"/>
      <c r="G29" s="42"/>
      <c r="H29" s="42"/>
      <c r="I29" s="42"/>
      <c r="J29" s="43"/>
      <c r="K29" s="43"/>
      <c r="L29" s="43"/>
      <c r="M29" s="43"/>
      <c r="N29" s="43"/>
      <c r="O29" s="43"/>
      <c r="P29" s="43"/>
      <c r="Q29" s="43"/>
      <c r="R29" s="44"/>
      <c r="S29" s="43"/>
      <c r="T29" s="43"/>
      <c r="U29" s="43"/>
      <c r="V29" s="43"/>
    </row>
    <row r="30" customFormat="false" ht="21.75" hidden="false" customHeight="true" outlineLevel="0" collapsed="false">
      <c r="A30" s="45"/>
      <c r="B30" s="60"/>
      <c r="C30" s="61"/>
      <c r="D30" s="62"/>
      <c r="E30" s="19"/>
      <c r="F30" s="42"/>
      <c r="G30" s="42"/>
      <c r="H30" s="42"/>
      <c r="I30" s="42"/>
      <c r="J30" s="43"/>
      <c r="K30" s="43"/>
      <c r="L30" s="43"/>
      <c r="M30" s="43"/>
      <c r="N30" s="43"/>
      <c r="O30" s="43"/>
      <c r="P30" s="43"/>
      <c r="Q30" s="43"/>
      <c r="R30" s="44"/>
      <c r="S30" s="43"/>
      <c r="T30" s="43"/>
      <c r="U30" s="43"/>
      <c r="V30" s="43"/>
    </row>
    <row r="31" customFormat="false" ht="21.75" hidden="true" customHeight="true" outlineLevel="0" collapsed="false">
      <c r="A31" s="45"/>
      <c r="B31" s="60"/>
      <c r="C31" s="61"/>
      <c r="D31" s="62"/>
      <c r="E31" s="19"/>
      <c r="F31" s="42"/>
      <c r="G31" s="42"/>
      <c r="H31" s="42"/>
      <c r="I31" s="42"/>
      <c r="J31" s="43"/>
      <c r="K31" s="43"/>
      <c r="L31" s="43"/>
      <c r="M31" s="43"/>
      <c r="N31" s="43"/>
      <c r="O31" s="43"/>
      <c r="P31" s="43"/>
      <c r="Q31" s="43"/>
      <c r="R31" s="44"/>
      <c r="S31" s="43"/>
      <c r="T31" s="43"/>
      <c r="U31" s="43"/>
      <c r="V31" s="43"/>
    </row>
    <row r="32" s="68" customFormat="true" ht="22.5" hidden="false" customHeight="true" outlineLevel="0" collapsed="false">
      <c r="A32" s="63" t="s">
        <v>29</v>
      </c>
      <c r="B32" s="64"/>
      <c r="C32" s="64"/>
      <c r="D32" s="65"/>
      <c r="E32" s="6"/>
      <c r="F32" s="66"/>
      <c r="G32" s="66"/>
      <c r="H32" s="66"/>
      <c r="I32" s="66"/>
      <c r="J32" s="67"/>
      <c r="K32" s="67"/>
      <c r="L32" s="67"/>
      <c r="M32" s="67"/>
      <c r="N32" s="67"/>
      <c r="O32" s="67"/>
      <c r="P32" s="67"/>
      <c r="R32" s="69"/>
    </row>
    <row r="33" customFormat="false" ht="24" hidden="false" customHeight="true" outlineLevel="0" collapsed="false">
      <c r="A33" s="2"/>
      <c r="B33" s="46" t="str">
        <f aca="false">CONCATENATE("Energiåtgång för värmningen av tappvarmvatten för ",D7)</f>
        <v>Energiåtgång för värmningen av tappvarmvatten för Småhus &gt;130 m2</v>
      </c>
      <c r="C33" s="9" t="s">
        <v>30</v>
      </c>
      <c r="D33" s="70" t="n">
        <f aca="false">M202</f>
        <v>20</v>
      </c>
      <c r="E33" s="6"/>
      <c r="F33" s="48"/>
      <c r="G33" s="48"/>
      <c r="H33" s="48"/>
      <c r="I33" s="48"/>
      <c r="J33" s="49"/>
      <c r="K33" s="49"/>
      <c r="L33" s="49"/>
      <c r="M33" s="49"/>
      <c r="N33" s="49"/>
      <c r="O33" s="49"/>
      <c r="P33" s="49"/>
    </row>
    <row r="34" customFormat="false" ht="21" hidden="false" customHeight="true" outlineLevel="0" collapsed="false">
      <c r="A34" s="2"/>
      <c r="B34" s="46" t="s">
        <v>31</v>
      </c>
      <c r="C34" s="9" t="s">
        <v>19</v>
      </c>
      <c r="D34" s="70" t="n">
        <f aca="false">(D33)*D16</f>
        <v>2800</v>
      </c>
      <c r="E34" s="6"/>
      <c r="F34" s="48"/>
      <c r="G34" s="48"/>
      <c r="H34" s="48"/>
      <c r="I34" s="48"/>
      <c r="N34" s="49"/>
      <c r="O34" s="49"/>
      <c r="P34" s="49"/>
    </row>
    <row r="35" customFormat="false" ht="15.75" hidden="false" customHeight="true" outlineLevel="0" collapsed="false">
      <c r="A35" s="2"/>
      <c r="B35" s="46" t="s">
        <v>32</v>
      </c>
      <c r="C35" s="53" t="s">
        <v>33</v>
      </c>
      <c r="D35" s="71" t="n">
        <v>0</v>
      </c>
      <c r="E35" s="64"/>
      <c r="F35" s="48"/>
      <c r="G35" s="48"/>
      <c r="H35" s="48"/>
      <c r="I35" s="48"/>
      <c r="J35" s="49"/>
      <c r="K35" s="49"/>
      <c r="L35" s="49"/>
      <c r="M35" s="49"/>
      <c r="N35" s="49"/>
      <c r="O35" s="49"/>
      <c r="P35" s="49"/>
    </row>
    <row r="36" customFormat="false" ht="24" hidden="false" customHeight="true" outlineLevel="0" collapsed="false">
      <c r="A36" s="2"/>
      <c r="B36" s="46" t="s">
        <v>34</v>
      </c>
      <c r="C36" s="55" t="s">
        <v>25</v>
      </c>
      <c r="D36" s="59" t="n">
        <f aca="false">E230</f>
        <v>2.5</v>
      </c>
      <c r="E36" s="6"/>
      <c r="F36" s="48"/>
      <c r="G36" s="48"/>
      <c r="H36" s="48"/>
      <c r="I36" s="48"/>
      <c r="J36" s="49"/>
      <c r="K36" s="49"/>
      <c r="L36" s="49"/>
      <c r="M36" s="49"/>
      <c r="N36" s="49"/>
      <c r="O36" s="49"/>
      <c r="P36" s="49"/>
    </row>
    <row r="37" customFormat="false" ht="16.5" hidden="false" customHeight="true" outlineLevel="0" collapsed="false">
      <c r="A37" s="2"/>
      <c r="B37" s="46" t="s">
        <v>35</v>
      </c>
      <c r="C37" s="53" t="s">
        <v>19</v>
      </c>
      <c r="D37" s="72" t="n">
        <f aca="false">(D34+D35)/D36</f>
        <v>1120</v>
      </c>
      <c r="E37" s="6"/>
      <c r="F37" s="48"/>
      <c r="G37" s="48"/>
      <c r="H37" s="48"/>
      <c r="I37" s="48"/>
      <c r="J37" s="49"/>
      <c r="K37" s="49"/>
      <c r="L37" s="49"/>
      <c r="M37" s="49"/>
      <c r="N37" s="49"/>
      <c r="O37" s="49"/>
      <c r="P37" s="49"/>
    </row>
    <row r="38" customFormat="false" ht="16.5" hidden="false" customHeight="true" outlineLevel="0" collapsed="false">
      <c r="A38" s="2"/>
      <c r="B38" s="46" t="s">
        <v>36</v>
      </c>
      <c r="C38" s="53" t="s">
        <v>28</v>
      </c>
      <c r="D38" s="59" t="n">
        <f aca="false">IF(D7&lt;&gt;"Lokal",D8*0.5,0)</f>
        <v>0.5</v>
      </c>
      <c r="E38" s="6"/>
      <c r="F38" s="48"/>
      <c r="G38" s="48"/>
      <c r="H38" s="48"/>
      <c r="I38" s="48"/>
      <c r="J38" s="49"/>
      <c r="K38" s="49"/>
      <c r="L38" s="49"/>
      <c r="M38" s="49"/>
      <c r="N38" s="49"/>
      <c r="O38" s="49"/>
      <c r="P38" s="49"/>
    </row>
    <row r="39" customFormat="false" ht="25.5" hidden="false" customHeight="true" outlineLevel="0" collapsed="false">
      <c r="A39" s="2"/>
      <c r="B39" s="46" t="str">
        <f aca="false">CONCATENATE("Verkningsgrad VV vid DVUT ",R244," För beräkning erforderlig netto-effekt")</f>
        <v>Verkningsgrad VV vid DVUT -13,7 För beräkning erforderlig netto-effekt</v>
      </c>
      <c r="C39" s="55" t="s">
        <v>25</v>
      </c>
      <c r="D39" s="59" t="n">
        <f aca="false">IF(T227=1,1,R236)</f>
        <v>2.48288888888889</v>
      </c>
      <c r="E39" s="14"/>
      <c r="F39" s="48"/>
      <c r="G39" s="48"/>
      <c r="H39" s="48"/>
      <c r="I39" s="48"/>
      <c r="J39" s="49"/>
      <c r="K39" s="49"/>
      <c r="L39" s="49"/>
      <c r="M39" s="49"/>
      <c r="N39" s="49"/>
      <c r="O39" s="49"/>
      <c r="P39" s="49"/>
    </row>
    <row r="40" customFormat="false" ht="12.75" hidden="false" customHeight="true" outlineLevel="0" collapsed="false">
      <c r="A40" s="2"/>
      <c r="B40" s="46" t="s">
        <v>37</v>
      </c>
      <c r="C40" s="53" t="s">
        <v>28</v>
      </c>
      <c r="D40" s="73" t="n">
        <f aca="false">IF(D7&lt;&gt;"Lokal",D8*0.5/D39,0)</f>
        <v>0.201378322742325</v>
      </c>
      <c r="E40" s="2"/>
      <c r="F40" s="48"/>
    </row>
    <row r="41" customFormat="false" ht="12.75" hidden="true" customHeight="true" outlineLevel="0" collapsed="false">
      <c r="A41" s="2"/>
      <c r="B41" s="60"/>
      <c r="C41" s="64"/>
      <c r="D41" s="74"/>
      <c r="E41" s="2"/>
      <c r="F41" s="48"/>
    </row>
    <row r="42" customFormat="false" ht="12.75" hidden="true" customHeight="true" outlineLevel="0" collapsed="false">
      <c r="A42" s="2"/>
      <c r="B42" s="60"/>
      <c r="C42" s="64"/>
      <c r="D42" s="74"/>
      <c r="E42" s="2"/>
      <c r="F42" s="48"/>
    </row>
    <row r="43" s="78" customFormat="true" ht="30.75" hidden="false" customHeight="true" outlineLevel="0" collapsed="false">
      <c r="A43" s="75" t="s">
        <v>38</v>
      </c>
      <c r="B43" s="2"/>
      <c r="C43" s="76"/>
      <c r="D43" s="19"/>
      <c r="E43" s="14"/>
      <c r="F43" s="48"/>
      <c r="G43" s="48"/>
      <c r="H43" s="48"/>
      <c r="I43" s="48"/>
      <c r="J43" s="77"/>
      <c r="K43" s="77"/>
      <c r="L43" s="77"/>
      <c r="M43" s="77"/>
      <c r="N43" s="77"/>
      <c r="O43" s="77"/>
      <c r="P43" s="77"/>
      <c r="R43" s="79"/>
    </row>
    <row r="44" customFormat="false" ht="15.75" hidden="false" customHeight="true" outlineLevel="0" collapsed="false">
      <c r="A44" s="2"/>
      <c r="B44" s="46" t="s">
        <v>39</v>
      </c>
      <c r="C44" s="53"/>
      <c r="D44" s="80" t="s">
        <v>40</v>
      </c>
      <c r="E44" s="2"/>
      <c r="F44" s="48"/>
      <c r="G44" s="48"/>
      <c r="H44" s="48"/>
      <c r="I44" s="48"/>
      <c r="J44" s="49"/>
      <c r="K44" s="49"/>
      <c r="L44" s="49"/>
      <c r="M44" s="49"/>
      <c r="N44" s="49"/>
      <c r="O44" s="49"/>
      <c r="P44" s="49"/>
    </row>
    <row r="45" customFormat="false" ht="15.75" hidden="false" customHeight="true" outlineLevel="0" collapsed="false">
      <c r="A45" s="2"/>
      <c r="B45" s="46" t="s">
        <v>41</v>
      </c>
      <c r="C45" s="53" t="s">
        <v>42</v>
      </c>
      <c r="D45" s="81" t="n">
        <f aca="false">C235</f>
        <v>1.5</v>
      </c>
      <c r="E45" s="2"/>
      <c r="F45" s="48"/>
      <c r="G45" s="48"/>
      <c r="H45" s="48"/>
      <c r="I45" s="48"/>
      <c r="J45" s="49"/>
      <c r="K45" s="49"/>
      <c r="L45" s="49"/>
      <c r="M45" s="49"/>
      <c r="N45" s="49"/>
      <c r="O45" s="49"/>
      <c r="P45" s="49"/>
    </row>
    <row r="46" customFormat="false" ht="15.75" hidden="false" customHeight="true" outlineLevel="0" collapsed="false">
      <c r="A46" s="2"/>
      <c r="B46" s="46" t="s">
        <v>43</v>
      </c>
      <c r="C46" s="53" t="s">
        <v>44</v>
      </c>
      <c r="D46" s="20" t="n">
        <f aca="false">D45*D58</f>
        <v>0.525</v>
      </c>
      <c r="E46" s="2"/>
      <c r="F46" s="48"/>
      <c r="G46" s="48"/>
      <c r="H46" s="48"/>
      <c r="I46" s="82"/>
      <c r="J46" s="49"/>
      <c r="K46" s="49"/>
      <c r="L46" s="49"/>
      <c r="M46" s="49"/>
      <c r="N46" s="49"/>
      <c r="O46" s="49"/>
      <c r="P46" s="49"/>
    </row>
    <row r="47" customFormat="false" ht="15.75" hidden="false" customHeight="true" outlineLevel="0" collapsed="false">
      <c r="A47" s="2"/>
      <c r="B47" s="46" t="s">
        <v>45</v>
      </c>
      <c r="C47" s="53" t="s">
        <v>44</v>
      </c>
      <c r="D47" s="22" t="n">
        <f aca="false">C238</f>
        <v>0.15</v>
      </c>
      <c r="E47" s="2"/>
      <c r="F47" s="48"/>
      <c r="G47" s="48"/>
      <c r="H47" s="48"/>
      <c r="I47" s="48"/>
      <c r="J47" s="49"/>
      <c r="K47" s="49"/>
      <c r="L47" s="49"/>
      <c r="M47" s="49"/>
      <c r="N47" s="49"/>
      <c r="O47" s="49"/>
      <c r="P47" s="49"/>
    </row>
    <row r="48" customFormat="false" ht="24" hidden="false" customHeight="true" outlineLevel="0" collapsed="false">
      <c r="A48" s="2"/>
      <c r="B48" s="46" t="s">
        <v>46</v>
      </c>
      <c r="C48" s="53" t="s">
        <v>19</v>
      </c>
      <c r="D48" s="73" t="n">
        <f aca="false">(D47+D46)*D16*365*24/1000</f>
        <v>827.82</v>
      </c>
      <c r="E48" s="2"/>
      <c r="F48" s="48"/>
      <c r="G48" s="48"/>
      <c r="H48" s="48"/>
      <c r="I48" s="48"/>
      <c r="J48" s="49"/>
      <c r="K48" s="49"/>
      <c r="L48" s="49"/>
      <c r="M48" s="49"/>
      <c r="N48" s="49"/>
      <c r="O48" s="49"/>
      <c r="P48" s="49"/>
    </row>
    <row r="49" customFormat="false" ht="18.75" hidden="false" customHeight="true" outlineLevel="0" collapsed="false">
      <c r="A49" s="2"/>
      <c r="B49" s="46" t="s">
        <v>47</v>
      </c>
      <c r="C49" s="53" t="s">
        <v>19</v>
      </c>
      <c r="D49" s="83" t="n">
        <v>0</v>
      </c>
      <c r="E49" s="2"/>
      <c r="F49" s="48"/>
      <c r="G49" s="48"/>
      <c r="H49" s="48"/>
      <c r="I49" s="48"/>
      <c r="J49" s="49"/>
      <c r="K49" s="49"/>
      <c r="L49" s="49"/>
      <c r="M49" s="49"/>
      <c r="N49" s="49"/>
      <c r="O49" s="49"/>
      <c r="P49" s="49"/>
    </row>
    <row r="50" customFormat="false" ht="16.5" hidden="false" customHeight="true" outlineLevel="0" collapsed="false">
      <c r="A50" s="2"/>
      <c r="B50" s="9" t="s">
        <v>48</v>
      </c>
      <c r="C50" s="9" t="s">
        <v>19</v>
      </c>
      <c r="D50" s="58" t="n">
        <f aca="false">D242+D49</f>
        <v>827.82</v>
      </c>
      <c r="E50" s="2"/>
      <c r="F50" s="48"/>
      <c r="G50" s="48"/>
      <c r="H50" s="48"/>
      <c r="I50" s="48"/>
      <c r="J50" s="49"/>
      <c r="K50" s="49"/>
      <c r="L50" s="49"/>
      <c r="M50" s="49"/>
      <c r="N50" s="49"/>
      <c r="O50" s="49"/>
      <c r="P50" s="49"/>
    </row>
    <row r="51" customFormat="false" ht="16.5" hidden="true" customHeight="true" outlineLevel="0" collapsed="false">
      <c r="A51" s="2"/>
      <c r="B51" s="37"/>
      <c r="C51" s="61"/>
      <c r="D51" s="62"/>
      <c r="E51" s="2"/>
      <c r="F51" s="48"/>
      <c r="G51" s="48"/>
      <c r="H51" s="48"/>
      <c r="I51" s="48"/>
      <c r="J51" s="49"/>
      <c r="K51" s="49"/>
      <c r="L51" s="49"/>
      <c r="M51" s="49"/>
      <c r="N51" s="49"/>
      <c r="O51" s="49"/>
      <c r="P51" s="49"/>
    </row>
    <row r="52" customFormat="false" ht="16.5" hidden="true" customHeight="true" outlineLevel="0" collapsed="false">
      <c r="A52" s="2"/>
      <c r="B52" s="37"/>
      <c r="C52" s="61"/>
      <c r="D52" s="62"/>
      <c r="E52" s="2"/>
      <c r="F52" s="48"/>
      <c r="G52" s="48"/>
      <c r="H52" s="48"/>
      <c r="I52" s="48"/>
      <c r="J52" s="49"/>
      <c r="K52" s="49"/>
      <c r="L52" s="49"/>
      <c r="M52" s="49"/>
      <c r="N52" s="49"/>
      <c r="O52" s="49"/>
      <c r="P52" s="49"/>
    </row>
    <row r="53" customFormat="false" ht="16.5" hidden="true" customHeight="true" outlineLevel="0" collapsed="false">
      <c r="A53" s="2"/>
      <c r="B53" s="37"/>
      <c r="C53" s="61"/>
      <c r="D53" s="62"/>
      <c r="E53" s="2"/>
      <c r="F53" s="48"/>
      <c r="G53" s="48"/>
      <c r="H53" s="48"/>
      <c r="I53" s="48"/>
      <c r="J53" s="49"/>
      <c r="K53" s="49"/>
      <c r="L53" s="49"/>
      <c r="M53" s="49"/>
      <c r="N53" s="49"/>
      <c r="O53" s="49"/>
      <c r="P53" s="49"/>
    </row>
    <row r="54" customFormat="false" ht="27.75" hidden="false" customHeight="true" outlineLevel="0" collapsed="false">
      <c r="A54" s="63" t="s">
        <v>49</v>
      </c>
      <c r="B54" s="2"/>
      <c r="C54" s="61"/>
      <c r="D54" s="62"/>
      <c r="E54" s="2"/>
      <c r="F54" s="48"/>
      <c r="G54" s="48"/>
      <c r="H54" s="48"/>
      <c r="I54" s="48"/>
      <c r="J54" s="49"/>
      <c r="K54" s="49"/>
      <c r="L54" s="49"/>
      <c r="M54" s="49"/>
      <c r="N54" s="49"/>
      <c r="O54" s="49"/>
      <c r="P54" s="49"/>
    </row>
    <row r="55" customFormat="false" ht="30" hidden="false" customHeight="true" outlineLevel="0" collapsed="false">
      <c r="A55" s="2"/>
      <c r="B55" s="46" t="str">
        <f aca="false">CONCATENATE("Primärenergifaktor uppvärmning &amp; VV via ",D23)</f>
        <v>Primärenergifaktor uppvärmning &amp; VV via BEN / Jord/berg/sjö värmepump</v>
      </c>
      <c r="C55" s="9" t="s">
        <v>50</v>
      </c>
      <c r="D55" s="58" t="n">
        <f aca="false">C227</f>
        <v>1.8</v>
      </c>
      <c r="E55" s="2"/>
      <c r="F55" s="48"/>
      <c r="G55" s="48"/>
      <c r="H55" s="48"/>
      <c r="I55" s="48"/>
      <c r="J55" s="49"/>
      <c r="K55" s="49"/>
      <c r="L55" s="49"/>
      <c r="M55" s="49"/>
      <c r="N55" s="49"/>
      <c r="O55" s="49"/>
      <c r="P55" s="49"/>
    </row>
    <row r="56" customFormat="false" ht="21" hidden="false" customHeight="true" outlineLevel="0" collapsed="false">
      <c r="A56" s="2"/>
      <c r="B56" s="46" t="str">
        <f aca="false">CONCATENATE("Primärenergifaktor fastighetsenergi",IF(D56=1.6, " El",""))</f>
        <v>Primärenergifaktor fastighetsenergi</v>
      </c>
      <c r="C56" s="9" t="s">
        <v>50</v>
      </c>
      <c r="D56" s="56" t="n">
        <v>1.8</v>
      </c>
      <c r="E56" s="2"/>
      <c r="F56" s="48"/>
      <c r="G56" s="48"/>
      <c r="H56" s="48"/>
      <c r="I56" s="48"/>
      <c r="J56" s="49"/>
      <c r="K56" s="49"/>
      <c r="L56" s="49"/>
      <c r="M56" s="49"/>
      <c r="N56" s="49"/>
      <c r="O56" s="49"/>
      <c r="P56" s="49"/>
    </row>
    <row r="57" customFormat="false" ht="25.5" hidden="false" customHeight="true" outlineLevel="0" collapsed="false">
      <c r="A57" s="2"/>
      <c r="B57" s="9" t="s">
        <v>51</v>
      </c>
      <c r="C57" s="46" t="s">
        <v>52</v>
      </c>
      <c r="D57" s="58" t="n">
        <f aca="false">((D26+D37)*D55+(D50*D56))/D16</f>
        <v>69.0662571428571</v>
      </c>
      <c r="E57" s="2"/>
      <c r="F57" s="48"/>
      <c r="G57" s="48"/>
      <c r="H57" s="48"/>
      <c r="I57" s="48"/>
      <c r="J57" s="49"/>
      <c r="K57" s="49"/>
      <c r="L57" s="49"/>
      <c r="M57" s="49"/>
      <c r="N57" s="49"/>
      <c r="O57" s="49"/>
      <c r="P57" s="49"/>
    </row>
    <row r="58" customFormat="false" ht="25.5" hidden="false" customHeight="true" outlineLevel="0" collapsed="false">
      <c r="A58" s="2"/>
      <c r="B58" s="46" t="s">
        <v>53</v>
      </c>
      <c r="C58" s="9" t="s">
        <v>54</v>
      </c>
      <c r="D58" s="84" t="n">
        <v>0.35</v>
      </c>
      <c r="E58" s="85" t="str">
        <f aca="false">F202</f>
        <v>Betydelselös</v>
      </c>
      <c r="F58" s="48"/>
      <c r="G58" s="48"/>
      <c r="H58" s="48"/>
      <c r="I58" s="48"/>
      <c r="J58" s="49"/>
      <c r="K58" s="49"/>
      <c r="L58" s="49"/>
      <c r="M58" s="49"/>
      <c r="N58" s="49"/>
      <c r="O58" s="49"/>
      <c r="P58" s="49"/>
    </row>
    <row r="59" customFormat="false" ht="33" hidden="false" customHeight="true" outlineLevel="0" collapsed="false">
      <c r="A59" s="2"/>
      <c r="B59" s="46" t="str">
        <f aca="false">IF((F202&lt;&gt;"Betydelselös")*(D58&gt;0.35),CONCATENATE("Hög ventilation ",D58," l/s/m2 medför att tillåtet primärtal får ökas med:"),"")</f>
        <v/>
      </c>
      <c r="C59" s="9" t="str">
        <f aca="false">IF((F202&lt;&gt;"Betydelselös")*(D58&gt;0.35),"Epet + (vent)","")</f>
        <v/>
      </c>
      <c r="D59" s="86" t="str">
        <f aca="false">IF((F202&lt;&gt;"Betydelselös")*(D58&gt;0.35),D202,"")</f>
        <v/>
      </c>
      <c r="E59" s="14"/>
      <c r="F59" s="48"/>
      <c r="G59" s="48"/>
      <c r="H59" s="48"/>
      <c r="I59" s="48"/>
      <c r="J59" s="49"/>
      <c r="K59" s="49"/>
      <c r="L59" s="49"/>
      <c r="M59" s="49"/>
      <c r="N59" s="49"/>
      <c r="O59" s="49"/>
      <c r="P59" s="49"/>
    </row>
    <row r="60" customFormat="false" ht="25.5" hidden="false" customHeight="true" outlineLevel="0" collapsed="false">
      <c r="A60" s="2" t="s">
        <v>55</v>
      </c>
      <c r="B60" s="46"/>
      <c r="C60" s="9"/>
      <c r="D60" s="58"/>
      <c r="E60" s="2"/>
      <c r="F60" s="48"/>
      <c r="G60" s="48"/>
      <c r="H60" s="48"/>
      <c r="I60" s="48"/>
      <c r="J60" s="49"/>
      <c r="K60" s="49"/>
      <c r="L60" s="49"/>
      <c r="M60" s="49"/>
      <c r="N60" s="49"/>
      <c r="O60" s="49"/>
      <c r="P60" s="49"/>
    </row>
    <row r="61" customFormat="false" ht="36.75" hidden="false" customHeight="true" outlineLevel="0" collapsed="false">
      <c r="A61" s="2"/>
      <c r="B61" s="46" t="str">
        <f aca="false">CONCATENATE("Erforderlig brutto värmeeffekt för uppvärmning av byggnaden vid ", 'Indata bostäder.'!D9," C° inne och DVUT ",D10,C10,"samt för varmvatten :   ")</f>
        <v>Erforderlig brutto värmeeffekt för uppvärmning av byggnaden vid 21 C° inne och DVUT -13,7 C°samt för varmvatten :   </v>
      </c>
      <c r="C61" s="9" t="s">
        <v>28</v>
      </c>
      <c r="D61" s="58" t="n">
        <f aca="false">D40*D39+D29*D28</f>
        <v>4.67125333333333</v>
      </c>
      <c r="E61" s="2"/>
      <c r="F61" s="48"/>
      <c r="G61" s="48"/>
      <c r="H61" s="48"/>
      <c r="I61" s="48"/>
      <c r="J61" s="49"/>
      <c r="K61" s="49"/>
      <c r="L61" s="49"/>
      <c r="M61" s="49"/>
      <c r="N61" s="49"/>
      <c r="O61" s="49"/>
      <c r="P61" s="49"/>
    </row>
    <row r="62" s="90" customFormat="true" ht="31.5" hidden="false" customHeight="true" outlineLevel="0" collapsed="false">
      <c r="A62" s="87"/>
      <c r="B62" s="46" t="s">
        <v>56</v>
      </c>
      <c r="C62" s="46" t="s">
        <v>19</v>
      </c>
      <c r="D62" s="88" t="n">
        <f aca="false">(D20+D21-D22)+D34+D35</f>
        <v>11360</v>
      </c>
      <c r="E62" s="87"/>
      <c r="F62" s="82"/>
      <c r="G62" s="82"/>
      <c r="H62" s="82"/>
      <c r="I62" s="82"/>
      <c r="J62" s="89"/>
      <c r="K62" s="89"/>
      <c r="L62" s="89"/>
      <c r="M62" s="89"/>
      <c r="N62" s="89"/>
      <c r="O62" s="89"/>
      <c r="P62" s="89"/>
      <c r="R62" s="91"/>
    </row>
    <row r="63" s="90" customFormat="true" ht="22.5" hidden="false" customHeight="true" outlineLevel="0" collapsed="false">
      <c r="A63" s="87"/>
      <c r="B63" s="46" t="str">
        <f aca="false">P227</f>
        <v>Jord/Berg -värmepump besparing @BEN</v>
      </c>
      <c r="C63" s="46"/>
      <c r="D63" s="88" t="n">
        <f aca="false">D62-D64</f>
        <v>6816</v>
      </c>
      <c r="E63" s="87"/>
      <c r="F63" s="82"/>
      <c r="G63" s="82"/>
      <c r="H63" s="82"/>
      <c r="I63" s="82"/>
      <c r="J63" s="89"/>
      <c r="K63" s="89"/>
      <c r="L63" s="89"/>
      <c r="M63" s="89"/>
      <c r="N63" s="89"/>
      <c r="O63" s="89"/>
      <c r="P63" s="89"/>
      <c r="R63" s="91"/>
    </row>
    <row r="64" customFormat="false" ht="27" hidden="false" customHeight="true" outlineLevel="0" collapsed="false">
      <c r="A64" s="2"/>
      <c r="B64" s="46" t="s">
        <v>57</v>
      </c>
      <c r="C64" s="46" t="s">
        <v>19</v>
      </c>
      <c r="D64" s="57" t="n">
        <f aca="false">D25+D37</f>
        <v>4544</v>
      </c>
      <c r="E64" s="2"/>
      <c r="F64" s="48"/>
      <c r="G64" s="48"/>
      <c r="H64" s="48"/>
      <c r="I64" s="48"/>
      <c r="J64" s="49"/>
      <c r="K64" s="49"/>
      <c r="L64" s="49"/>
      <c r="M64" s="49"/>
      <c r="N64" s="49"/>
      <c r="O64" s="49"/>
      <c r="P64" s="49"/>
    </row>
    <row r="65" customFormat="false" ht="18" hidden="false" customHeight="true" outlineLevel="0" collapsed="false">
      <c r="A65" s="2"/>
      <c r="B65" s="46" t="str">
        <f aca="false">B50</f>
        <v>Energiåtgång för fastighetens installationer: totalt</v>
      </c>
      <c r="C65" s="46" t="str">
        <f aca="false">C50</f>
        <v>kWh/år</v>
      </c>
      <c r="D65" s="92" t="n">
        <f aca="false">D50</f>
        <v>827.82</v>
      </c>
      <c r="E65" s="2"/>
      <c r="F65" s="48"/>
      <c r="G65" s="48"/>
      <c r="H65" s="48"/>
      <c r="I65" s="48"/>
      <c r="J65" s="49"/>
      <c r="K65" s="49"/>
      <c r="L65" s="49"/>
      <c r="M65" s="49"/>
      <c r="N65" s="49"/>
      <c r="O65" s="49"/>
      <c r="P65" s="49"/>
    </row>
    <row r="66" customFormat="false" ht="27.75" hidden="false" customHeight="true" outlineLevel="0" collapsed="false">
      <c r="A66" s="2"/>
      <c r="B66" s="46" t="s">
        <v>58</v>
      </c>
      <c r="C66" s="9" t="s">
        <v>19</v>
      </c>
      <c r="D66" s="72" t="n">
        <f aca="false">D64+D65</f>
        <v>5371.82</v>
      </c>
      <c r="E66" s="14"/>
      <c r="F66" s="48"/>
      <c r="G66" s="48"/>
      <c r="H66" s="48"/>
      <c r="I66" s="48"/>
      <c r="J66" s="49"/>
      <c r="K66" s="49"/>
      <c r="L66" s="49"/>
      <c r="M66" s="49"/>
      <c r="N66" s="49"/>
      <c r="O66" s="49"/>
      <c r="P66" s="49"/>
    </row>
    <row r="67" customFormat="false" ht="24" hidden="false" customHeight="true" outlineLevel="0" collapsed="false">
      <c r="A67" s="2"/>
      <c r="B67" s="46" t="s">
        <v>59</v>
      </c>
      <c r="C67" s="9" t="s">
        <v>30</v>
      </c>
      <c r="D67" s="93" t="n">
        <f aca="false">D66/D16</f>
        <v>38.3701428571428</v>
      </c>
      <c r="E67" s="14"/>
      <c r="F67" s="48"/>
      <c r="G67" s="48"/>
      <c r="H67" s="48"/>
      <c r="I67" s="48"/>
      <c r="J67" s="49"/>
      <c r="K67" s="49"/>
      <c r="L67" s="49"/>
      <c r="M67" s="49"/>
      <c r="N67" s="49"/>
      <c r="O67" s="49"/>
      <c r="P67" s="49"/>
    </row>
    <row r="68" customFormat="false" ht="18" hidden="false" customHeight="true" outlineLevel="0" collapsed="false">
      <c r="A68" s="2"/>
      <c r="B68" s="60"/>
      <c r="C68" s="61"/>
      <c r="D68" s="94"/>
      <c r="E68" s="14"/>
      <c r="F68" s="15"/>
      <c r="G68" s="15"/>
      <c r="H68" s="15"/>
      <c r="I68" s="15"/>
    </row>
    <row r="69" customFormat="false" ht="18" hidden="false" customHeight="true" outlineLevel="0" collapsed="false">
      <c r="A69" s="2"/>
      <c r="B69" s="95" t="s">
        <v>60</v>
      </c>
      <c r="C69" s="8"/>
      <c r="D69" s="5"/>
      <c r="E69" s="14"/>
      <c r="F69" s="15"/>
      <c r="G69" s="15"/>
      <c r="H69" s="15"/>
      <c r="I69" s="15"/>
    </row>
    <row r="70" customFormat="false" ht="21" hidden="false" customHeight="true" outlineLevel="0" collapsed="false">
      <c r="A70" s="2"/>
      <c r="B70" s="96"/>
      <c r="C70" s="8"/>
      <c r="D70" s="5"/>
      <c r="E70" s="14"/>
      <c r="F70" s="15"/>
      <c r="G70" s="15"/>
      <c r="H70" s="15"/>
      <c r="I70" s="15"/>
    </row>
    <row r="71" customFormat="false" ht="28.5" hidden="false" customHeight="true" outlineLevel="0" collapsed="false">
      <c r="A71" s="2"/>
      <c r="B71" s="97" t="s">
        <v>61</v>
      </c>
      <c r="C71" s="97"/>
      <c r="D71" s="97"/>
      <c r="E71" s="14"/>
      <c r="F71" s="15"/>
      <c r="G71" s="15"/>
      <c r="H71" s="15"/>
      <c r="I71" s="15"/>
    </row>
    <row r="72" customFormat="false" ht="24.75" hidden="false" customHeight="true" outlineLevel="0" collapsed="false">
      <c r="A72" s="2"/>
      <c r="B72" s="98" t="s">
        <v>62</v>
      </c>
      <c r="C72" s="98"/>
      <c r="D72" s="98"/>
      <c r="E72" s="14"/>
      <c r="F72" s="15"/>
      <c r="G72" s="15"/>
      <c r="H72" s="15"/>
      <c r="I72" s="15"/>
    </row>
    <row r="73" customFormat="false" ht="31.5" hidden="false" customHeight="true" outlineLevel="0" collapsed="false">
      <c r="A73" s="2"/>
      <c r="B73" s="99" t="s">
        <v>63</v>
      </c>
      <c r="C73" s="100"/>
      <c r="D73" s="101"/>
      <c r="E73" s="14"/>
      <c r="F73" s="15"/>
      <c r="G73" s="15"/>
      <c r="H73" s="15"/>
      <c r="I73" s="15"/>
    </row>
    <row r="74" customFormat="false" ht="85.5" hidden="false" customHeight="true" outlineLevel="0" collapsed="false">
      <c r="A74" s="2"/>
      <c r="B74" s="102" t="s">
        <v>64</v>
      </c>
      <c r="C74" s="102"/>
      <c r="D74" s="102"/>
      <c r="E74" s="14"/>
      <c r="F74" s="15"/>
      <c r="G74" s="15"/>
      <c r="H74" s="15"/>
      <c r="I74" s="15"/>
    </row>
    <row r="75" customFormat="false" ht="30" hidden="false" customHeight="true" outlineLevel="0" collapsed="false">
      <c r="A75" s="103"/>
      <c r="B75" s="104"/>
      <c r="C75" s="104"/>
      <c r="D75" s="105"/>
      <c r="E75" s="106"/>
      <c r="F75" s="15"/>
      <c r="G75" s="15"/>
      <c r="H75" s="15"/>
      <c r="I75" s="15"/>
    </row>
    <row r="76" customFormat="false" ht="26.25" hidden="false" customHeight="true" outlineLevel="0" collapsed="false">
      <c r="F76" s="79"/>
      <c r="G76" s="79"/>
      <c r="H76" s="79"/>
      <c r="I76" s="79"/>
      <c r="N76" s="107"/>
      <c r="O76" s="108"/>
      <c r="P76" s="108"/>
      <c r="Q76" s="108"/>
      <c r="R76" s="109"/>
      <c r="S76" s="108"/>
      <c r="T76" s="108"/>
      <c r="U76" s="108"/>
      <c r="V76" s="110"/>
    </row>
    <row r="77" customFormat="false" ht="18" hidden="false" customHeight="true" outlineLevel="0" collapsed="false">
      <c r="B77" s="111"/>
      <c r="C77" s="111"/>
      <c r="D77" s="44"/>
      <c r="E77" s="79"/>
      <c r="F77" s="79"/>
      <c r="G77" s="79"/>
      <c r="H77" s="79"/>
      <c r="I77" s="79"/>
      <c r="N77" s="112"/>
      <c r="O77" s="113" t="str">
        <f aca="false">B1</f>
        <v>Energibalansrapport projekterad energiförbrukning enligt BBR  30 / BEN 1 med ändringar t.o.m BEN 3</v>
      </c>
      <c r="P77" s="113"/>
      <c r="Q77" s="113"/>
      <c r="R77" s="113"/>
      <c r="S77" s="113"/>
      <c r="T77" s="113"/>
      <c r="U77" s="113"/>
      <c r="V77" s="114"/>
    </row>
    <row r="78" customFormat="false" ht="4.5" hidden="false" customHeight="true" outlineLevel="0" collapsed="false">
      <c r="B78" s="111"/>
      <c r="C78" s="111"/>
      <c r="D78" s="44"/>
      <c r="E78" s="79"/>
      <c r="F78" s="79"/>
      <c r="G78" s="79"/>
      <c r="H78" s="79"/>
      <c r="I78" s="79"/>
      <c r="N78" s="112"/>
      <c r="O78" s="115"/>
      <c r="P78" s="115"/>
      <c r="Q78" s="115"/>
      <c r="R78" s="116"/>
      <c r="S78" s="117"/>
      <c r="T78" s="117"/>
      <c r="U78" s="117"/>
      <c r="V78" s="114"/>
    </row>
    <row r="79" customFormat="false" ht="16.5" hidden="false" customHeight="true" outlineLevel="0" collapsed="false">
      <c r="B79" s="111"/>
      <c r="C79" s="111"/>
      <c r="D79" s="44"/>
      <c r="E79" s="79"/>
      <c r="F79" s="79"/>
      <c r="G79" s="79"/>
      <c r="H79" s="79"/>
      <c r="I79" s="79"/>
      <c r="N79" s="112"/>
      <c r="O79" s="115" t="str">
        <f aca="false">CONCATENATE(B3,C3)</f>
        <v>Fastighetsbeteckning : </v>
      </c>
      <c r="P79" s="115"/>
      <c r="Q79" s="115"/>
      <c r="R79" s="118" t="str">
        <f aca="false">CONCATENATE(D6," i ",D5," län")</f>
        <v>Stockholm i Stockholm län</v>
      </c>
      <c r="S79" s="115"/>
      <c r="T79" s="115"/>
      <c r="U79" s="115"/>
      <c r="V79" s="114"/>
    </row>
    <row r="80" customFormat="false" ht="16.5" hidden="false" customHeight="true" outlineLevel="0" collapsed="false">
      <c r="B80" s="111"/>
      <c r="C80" s="111"/>
      <c r="D80" s="44"/>
      <c r="E80" s="79"/>
      <c r="F80" s="79"/>
      <c r="G80" s="79"/>
      <c r="H80" s="79"/>
      <c r="I80" s="79"/>
      <c r="N80" s="112"/>
      <c r="O80" s="119" t="str">
        <f aca="false">CONCATENATE(B4,C4)</f>
        <v>Beräkningen utförd av : </v>
      </c>
      <c r="P80" s="119"/>
      <c r="Q80" s="119"/>
      <c r="R80" s="119"/>
      <c r="S80" s="119"/>
      <c r="T80" s="119"/>
      <c r="U80" s="119"/>
      <c r="V80" s="114"/>
    </row>
    <row r="81" customFormat="false" ht="16.5" hidden="false" customHeight="true" outlineLevel="0" collapsed="false">
      <c r="B81" s="111"/>
      <c r="C81" s="111"/>
      <c r="D81" s="44"/>
      <c r="E81" s="79"/>
      <c r="F81" s="79"/>
      <c r="G81" s="79"/>
      <c r="H81" s="79"/>
      <c r="I81" s="79"/>
      <c r="N81" s="112"/>
      <c r="O81" s="115" t="str">
        <f aca="false">CONCATENATE("Byggnadstyp : ",D7,IF((D7="Lokal")+(D7="Småhus"),"",CONCATENATE(" ",D8,IF(D8=1," bostad"," bostäder"))))</f>
        <v>Byggnadstyp : Småhus &gt;130 m2 1 bostad</v>
      </c>
      <c r="P81" s="115"/>
      <c r="R81" s="118"/>
      <c r="S81" s="120"/>
      <c r="T81" s="120"/>
      <c r="V81" s="114"/>
    </row>
    <row r="82" customFormat="false" ht="16.5" hidden="false" customHeight="true" outlineLevel="0" collapsed="false">
      <c r="B82" s="111"/>
      <c r="C82" s="111"/>
      <c r="D82" s="44"/>
      <c r="E82" s="79"/>
      <c r="F82" s="79"/>
      <c r="G82" s="79"/>
      <c r="H82" s="79"/>
      <c r="I82" s="79"/>
      <c r="N82" s="112"/>
      <c r="O82" s="115" t="str">
        <f aca="false">CONCATENATE("Värmekälla:  ",D23)</f>
        <v>Värmekälla:  BEN / Jord/berg/sjö värmepump</v>
      </c>
      <c r="P82" s="115"/>
      <c r="Q82" s="115"/>
      <c r="R82" s="116"/>
      <c r="S82" s="117"/>
      <c r="T82" s="117"/>
      <c r="U82" s="117"/>
      <c r="V82" s="114"/>
    </row>
    <row r="83" customFormat="false" ht="15.75" hidden="false" customHeight="true" outlineLevel="0" collapsed="false">
      <c r="B83" s="111"/>
      <c r="C83" s="111"/>
      <c r="D83" s="44"/>
      <c r="E83" s="79"/>
      <c r="F83" s="79"/>
      <c r="G83" s="79"/>
      <c r="H83" s="79"/>
      <c r="I83" s="79"/>
      <c r="N83" s="112"/>
      <c r="O83" s="119" t="str">
        <f aca="false">CONCATENATE("Maximal tillåten installerad eleffekt: ",FIXED(J202,2,)," kW", IF(H202&gt;0,CONCATENATE(" / ingår justering för area ",FIXED(H202,2,)," kW"),""),IF(I202&gt;0,CONCATENATE(" / ingår justering hög ventilation ",FIXED(I202,2,)," kW"),))</f>
        <v>Maximal tillåten installerad eleffekt: 4,75 kW / ingår justering för area 0,25 kW</v>
      </c>
      <c r="P83" s="115"/>
      <c r="V83" s="114"/>
    </row>
    <row r="84" customFormat="false" ht="15.75" hidden="false" customHeight="true" outlineLevel="0" collapsed="false">
      <c r="B84" s="111"/>
      <c r="C84" s="111"/>
      <c r="D84" s="44"/>
      <c r="E84" s="79"/>
      <c r="F84" s="79"/>
      <c r="G84" s="79"/>
      <c r="H84" s="79"/>
      <c r="I84" s="79"/>
      <c r="N84" s="112"/>
      <c r="O84" s="121"/>
      <c r="P84" s="121"/>
      <c r="Q84" s="119"/>
      <c r="R84" s="122"/>
      <c r="S84" s="117"/>
      <c r="T84" s="117"/>
      <c r="U84" s="117"/>
      <c r="V84" s="114"/>
    </row>
    <row r="85" customFormat="false" ht="15.75" hidden="false" customHeight="true" outlineLevel="0" collapsed="false">
      <c r="B85" s="111"/>
      <c r="C85" s="111"/>
      <c r="D85" s="44"/>
      <c r="E85" s="79"/>
      <c r="F85" s="79"/>
      <c r="G85" s="79"/>
      <c r="H85" s="79"/>
      <c r="I85" s="79"/>
      <c r="N85" s="112"/>
      <c r="O85" s="121"/>
      <c r="P85" s="121"/>
      <c r="Q85" s="119"/>
      <c r="R85" s="122"/>
      <c r="S85" s="123" t="s">
        <v>65</v>
      </c>
      <c r="T85" s="123"/>
      <c r="U85" s="123"/>
      <c r="V85" s="114"/>
    </row>
    <row r="86" customFormat="false" ht="12" hidden="false" customHeight="true" outlineLevel="0" collapsed="false">
      <c r="B86" s="111"/>
      <c r="C86" s="111"/>
      <c r="D86" s="44"/>
      <c r="E86" s="79"/>
      <c r="F86" s="79"/>
      <c r="G86" s="79"/>
      <c r="H86" s="79"/>
      <c r="I86" s="79"/>
      <c r="N86" s="112"/>
      <c r="P86" s="43" t="s">
        <v>66</v>
      </c>
      <c r="Q86" s="124" t="s">
        <v>67</v>
      </c>
      <c r="R86" s="125" t="s">
        <v>68</v>
      </c>
      <c r="S86" s="126" t="s">
        <v>69</v>
      </c>
      <c r="T86" s="123" t="s">
        <v>70</v>
      </c>
      <c r="U86" s="123"/>
      <c r="V86" s="114"/>
    </row>
    <row r="87" customFormat="false" ht="25.5" hidden="false" customHeight="true" outlineLevel="0" collapsed="false">
      <c r="B87" s="111"/>
      <c r="C87" s="111"/>
      <c r="D87" s="44"/>
      <c r="E87" s="79"/>
      <c r="F87" s="79"/>
      <c r="G87" s="79"/>
      <c r="H87" s="79"/>
      <c r="I87" s="79"/>
      <c r="N87" s="112"/>
      <c r="P87" s="127" t="s">
        <v>71</v>
      </c>
      <c r="Q87" s="128" t="s">
        <v>52</v>
      </c>
      <c r="R87" s="129" t="n">
        <f aca="false">D57</f>
        <v>69.0662571428571</v>
      </c>
      <c r="S87" s="130" t="n">
        <f aca="false">C203</f>
        <v>90</v>
      </c>
      <c r="T87" s="131" t="str">
        <f aca="false">IF(R87&lt;=(S87*0.5),"Mycket låg energianvändning",IF(R87&lt;=(S87*0.75),"Låg energianvändning",IF(R87&lt;=S87,"OK","För hög")))</f>
        <v>OK</v>
      </c>
      <c r="U87" s="131" t="str">
        <f aca="false">IF(R87&gt;S87,"HÖGT","")</f>
        <v/>
      </c>
      <c r="V87" s="114"/>
    </row>
    <row r="88" customFormat="false" ht="36.75" hidden="false" customHeight="true" outlineLevel="0" collapsed="false">
      <c r="B88" s="111"/>
      <c r="C88" s="111"/>
      <c r="D88" s="44"/>
      <c r="E88" s="79"/>
      <c r="F88" s="79"/>
      <c r="G88" s="79"/>
      <c r="H88" s="79"/>
      <c r="I88" s="79"/>
      <c r="N88" s="112"/>
      <c r="P88" s="127" t="str">
        <f aca="false">CONCATENATE("Erforderlig netto (köpt) eleffekt för uppvärmning av byggnaden vid ", D11," C° inne och DVUT ",D10,C10,"samt för varmvatten :   ")</f>
        <v>Erforderlig netto (köpt) eleffekt för uppvärmning av byggnaden vid 21 C° inne och DVUT -13,7 C°samt för varmvatten :   </v>
      </c>
      <c r="Q88" s="132" t="s">
        <v>72</v>
      </c>
      <c r="R88" s="133" t="n">
        <f aca="false">T108+T118</f>
        <v>1.88137832274233</v>
      </c>
      <c r="S88" s="134" t="n">
        <f aca="false">J202</f>
        <v>4.75</v>
      </c>
      <c r="T88" s="135" t="str">
        <f aca="false">IF(R88&lt;=S88,"OK","")</f>
        <v>OK</v>
      </c>
      <c r="U88" s="136" t="str">
        <f aca="false">IF(R88&gt;S88,"HÖGT","")</f>
        <v/>
      </c>
      <c r="V88" s="114"/>
    </row>
    <row r="89" customFormat="false" ht="31.5" hidden="false" customHeight="true" outlineLevel="0" collapsed="false">
      <c r="B89" s="111"/>
      <c r="C89" s="111"/>
      <c r="D89" s="44"/>
      <c r="E89" s="79"/>
      <c r="F89" s="79"/>
      <c r="G89" s="79"/>
      <c r="H89" s="79"/>
      <c r="I89" s="79"/>
      <c r="N89" s="112"/>
      <c r="P89" s="127" t="s">
        <v>12</v>
      </c>
      <c r="Q89" s="132" t="s">
        <v>13</v>
      </c>
      <c r="R89" s="137" t="n">
        <f aca="false">D15</f>
        <v>0.2</v>
      </c>
      <c r="S89" s="138" t="n">
        <f aca="false">K202</f>
        <v>0.3</v>
      </c>
      <c r="T89" s="139" t="str">
        <f aca="false">IF(R89&lt;=S89,"OK","")</f>
        <v>OK</v>
      </c>
      <c r="U89" s="140" t="str">
        <f aca="false">IF(R89&gt;S89,"HÖGT","")</f>
        <v/>
      </c>
      <c r="V89" s="114"/>
    </row>
    <row r="90" customFormat="false" ht="28.5" hidden="false" customHeight="true" outlineLevel="0" collapsed="false">
      <c r="B90" s="111"/>
      <c r="C90" s="111"/>
      <c r="D90" s="44"/>
      <c r="E90" s="79"/>
      <c r="F90" s="79"/>
      <c r="G90" s="79"/>
      <c r="H90" s="79"/>
      <c r="I90" s="79"/>
      <c r="N90" s="112"/>
      <c r="P90" s="43" t="s">
        <v>73</v>
      </c>
      <c r="Q90" s="141"/>
      <c r="R90" s="142"/>
      <c r="S90" s="143"/>
      <c r="T90" s="144"/>
      <c r="U90" s="145"/>
      <c r="V90" s="64"/>
    </row>
    <row r="91" customFormat="false" ht="16.5" hidden="false" customHeight="true" outlineLevel="0" collapsed="false">
      <c r="B91" s="111"/>
      <c r="C91" s="111"/>
      <c r="D91" s="44"/>
      <c r="E91" s="79"/>
      <c r="F91" s="79"/>
      <c r="G91" s="79"/>
      <c r="H91" s="79"/>
      <c r="I91" s="79"/>
      <c r="N91" s="112"/>
      <c r="P91" s="146" t="str">
        <f aca="false">B12</f>
        <v>Tidskonstant (värmetröghet i byggnaden )</v>
      </c>
      <c r="Q91" s="146"/>
      <c r="R91" s="146"/>
      <c r="S91" s="147" t="str">
        <f aca="false">C12</f>
        <v>tim</v>
      </c>
      <c r="T91" s="148" t="n">
        <f aca="false">D12</f>
        <v>93</v>
      </c>
      <c r="U91" s="143"/>
      <c r="V91" s="114"/>
    </row>
    <row r="92" customFormat="false" ht="17.25" hidden="false" customHeight="true" outlineLevel="0" collapsed="false">
      <c r="B92" s="111"/>
      <c r="C92" s="111"/>
      <c r="D92" s="44"/>
      <c r="E92" s="79"/>
      <c r="F92" s="79"/>
      <c r="G92" s="79"/>
      <c r="H92" s="79"/>
      <c r="I92" s="79"/>
      <c r="N92" s="112"/>
      <c r="P92" s="146" t="str">
        <f aca="false">B10</f>
        <v>Dimensionerande temperatur (DVUT) i Stockholm 4-dygn</v>
      </c>
      <c r="Q92" s="146"/>
      <c r="R92" s="146"/>
      <c r="S92" s="147" t="str">
        <f aca="false">C10</f>
        <v> C°</v>
      </c>
      <c r="T92" s="148" t="n">
        <f aca="false">D10</f>
        <v>-13.7</v>
      </c>
      <c r="U92" s="143"/>
      <c r="V92" s="114"/>
    </row>
    <row r="93" customFormat="false" ht="18" hidden="false" customHeight="true" outlineLevel="0" collapsed="false">
      <c r="B93" s="111"/>
      <c r="C93" s="111"/>
      <c r="D93" s="44"/>
      <c r="E93" s="79"/>
      <c r="F93" s="79"/>
      <c r="G93" s="79"/>
      <c r="H93" s="79"/>
      <c r="I93" s="79"/>
      <c r="N93" s="112"/>
      <c r="P93" s="146" t="str">
        <f aca="false">B11</f>
        <v>Dimensionerande innetemperatur  </v>
      </c>
      <c r="Q93" s="146"/>
      <c r="R93" s="146"/>
      <c r="S93" s="147" t="str">
        <f aca="false">C11</f>
        <v> C°</v>
      </c>
      <c r="T93" s="148" t="n">
        <f aca="false">D11</f>
        <v>21</v>
      </c>
      <c r="U93" s="141"/>
      <c r="V93" s="114"/>
    </row>
    <row r="94" customFormat="false" ht="18" hidden="false" customHeight="true" outlineLevel="0" collapsed="false">
      <c r="B94" s="111"/>
      <c r="C94" s="111"/>
      <c r="D94" s="44"/>
      <c r="E94" s="79"/>
      <c r="F94" s="79"/>
      <c r="G94" s="79"/>
      <c r="H94" s="79"/>
      <c r="I94" s="79"/>
      <c r="N94" s="112"/>
      <c r="P94" s="146" t="str">
        <f aca="false">B15</f>
        <v>Genomsnittlig värmegenomgångskoefficient för byggnadens omslutning:</v>
      </c>
      <c r="Q94" s="146"/>
      <c r="R94" s="146"/>
      <c r="S94" s="147" t="str">
        <f aca="false">C15</f>
        <v>W/m²K</v>
      </c>
      <c r="T94" s="149" t="n">
        <f aca="false">D15</f>
        <v>0.2</v>
      </c>
      <c r="U94" s="150"/>
      <c r="V94" s="114"/>
    </row>
    <row r="95" customFormat="false" ht="14.25" hidden="false" customHeight="true" outlineLevel="0" collapsed="false">
      <c r="B95" s="111"/>
      <c r="C95" s="111"/>
      <c r="D95" s="44"/>
      <c r="E95" s="79"/>
      <c r="F95" s="79"/>
      <c r="G95" s="79"/>
      <c r="H95" s="79"/>
      <c r="I95" s="79"/>
      <c r="N95" s="112"/>
      <c r="P95" s="151" t="str">
        <f aca="false">B16</f>
        <v>Atemp:</v>
      </c>
      <c r="Q95" s="151"/>
      <c r="R95" s="151"/>
      <c r="S95" s="152" t="str">
        <f aca="false">C16</f>
        <v>m²</v>
      </c>
      <c r="T95" s="153" t="n">
        <f aca="false">D16</f>
        <v>140</v>
      </c>
      <c r="U95" s="154"/>
      <c r="V95" s="114"/>
    </row>
    <row r="96" customFormat="false" ht="14.25" hidden="false" customHeight="true" outlineLevel="0" collapsed="false">
      <c r="B96" s="111"/>
      <c r="C96" s="111"/>
      <c r="D96" s="44"/>
      <c r="E96" s="79"/>
      <c r="F96" s="79"/>
      <c r="G96" s="79"/>
      <c r="H96" s="79"/>
      <c r="I96" s="79"/>
      <c r="N96" s="112"/>
      <c r="P96" s="141" t="str">
        <f aca="false">IF(I202&gt;0,CONCATENATE("Ventilation &gt; 0,35  : ",I202,""),"")</f>
        <v/>
      </c>
      <c r="Q96" s="141"/>
      <c r="R96" s="141"/>
      <c r="S96" s="154"/>
      <c r="T96" s="155"/>
      <c r="U96" s="156"/>
      <c r="V96" s="114"/>
    </row>
    <row r="97" customFormat="false" ht="12.75" hidden="false" customHeight="true" outlineLevel="0" collapsed="false">
      <c r="B97" s="111"/>
      <c r="C97" s="111"/>
      <c r="D97" s="44"/>
      <c r="E97" s="79"/>
      <c r="F97" s="79"/>
      <c r="G97" s="79"/>
      <c r="H97" s="79"/>
      <c r="I97" s="79"/>
      <c r="N97" s="112"/>
      <c r="P97" s="157" t="s">
        <v>74</v>
      </c>
      <c r="Q97" s="143"/>
      <c r="R97" s="116"/>
      <c r="S97" s="117"/>
      <c r="T97" s="117"/>
      <c r="U97" s="117"/>
      <c r="V97" s="114"/>
    </row>
    <row r="98" customFormat="false" ht="12.75" hidden="false" customHeight="true" outlineLevel="0" collapsed="false">
      <c r="B98" s="111"/>
      <c r="C98" s="111"/>
      <c r="D98" s="44"/>
      <c r="E98" s="79"/>
      <c r="F98" s="79"/>
      <c r="G98" s="79"/>
      <c r="H98" s="79"/>
      <c r="I98" s="79"/>
      <c r="N98" s="112"/>
      <c r="P98" s="157" t="s">
        <v>17</v>
      </c>
      <c r="Q98" s="143"/>
      <c r="R98" s="116"/>
      <c r="S98" s="117"/>
      <c r="T98" s="117"/>
      <c r="U98" s="117"/>
      <c r="V98" s="114"/>
    </row>
    <row r="99" customFormat="false" ht="16.5" hidden="false" customHeight="true" outlineLevel="0" collapsed="false">
      <c r="B99" s="111"/>
      <c r="C99" s="111"/>
      <c r="D99" s="44"/>
      <c r="E99" s="79"/>
      <c r="F99" s="79"/>
      <c r="G99" s="79"/>
      <c r="H99" s="79"/>
      <c r="I99" s="79"/>
      <c r="N99" s="112"/>
      <c r="P99" s="151" t="str">
        <f aca="false">B20</f>
        <v>Beräknad energianvändning för uppvärmning &amp; ventilation:</v>
      </c>
      <c r="Q99" s="151"/>
      <c r="R99" s="151"/>
      <c r="S99" s="151" t="str">
        <f aca="false">C20</f>
        <v>kWh/år</v>
      </c>
      <c r="T99" s="158" t="n">
        <f aca="false">D20</f>
        <v>8000</v>
      </c>
      <c r="U99" s="117"/>
      <c r="V99" s="114"/>
    </row>
    <row r="100" customFormat="false" ht="16.5" hidden="false" customHeight="true" outlineLevel="0" collapsed="false">
      <c r="B100" s="111"/>
      <c r="C100" s="111"/>
      <c r="D100" s="44"/>
      <c r="E100" s="79"/>
      <c r="F100" s="79"/>
      <c r="G100" s="79"/>
      <c r="H100" s="79"/>
      <c r="I100" s="79"/>
      <c r="N100" s="112"/>
      <c r="P100" s="151" t="str">
        <f aca="false">B21</f>
        <v>Beräknad energi vädringspåslag (4 kWh/m2/år)</v>
      </c>
      <c r="Q100" s="151"/>
      <c r="R100" s="151"/>
      <c r="S100" s="151" t="str">
        <f aca="false">C21</f>
        <v>kWh/år</v>
      </c>
      <c r="T100" s="158" t="n">
        <f aca="false">D21</f>
        <v>560</v>
      </c>
      <c r="U100" s="117"/>
      <c r="V100" s="114"/>
    </row>
    <row r="101" customFormat="false" ht="17.25" hidden="false" customHeight="true" outlineLevel="0" collapsed="false">
      <c r="B101" s="111"/>
      <c r="C101" s="111"/>
      <c r="D101" s="44"/>
      <c r="E101" s="79"/>
      <c r="F101" s="79"/>
      <c r="G101" s="79"/>
      <c r="H101" s="79"/>
      <c r="I101" s="79"/>
      <c r="N101" s="112"/>
      <c r="P101" s="151" t="str">
        <f aca="false">IF((D22=0),"",B22)</f>
        <v/>
      </c>
      <c r="Q101" s="151"/>
      <c r="R101" s="151"/>
      <c r="S101" s="151" t="str">
        <f aca="false">C22</f>
        <v>kWh//år</v>
      </c>
      <c r="T101" s="153" t="n">
        <f aca="false">D22</f>
        <v>0</v>
      </c>
      <c r="U101" s="68"/>
      <c r="V101" s="114"/>
    </row>
    <row r="102" customFormat="false" ht="16.5" hidden="false" customHeight="true" outlineLevel="0" collapsed="false">
      <c r="B102" s="111"/>
      <c r="C102" s="111"/>
      <c r="D102" s="44"/>
      <c r="E102" s="79"/>
      <c r="F102" s="79"/>
      <c r="G102" s="79"/>
      <c r="H102" s="79"/>
      <c r="I102" s="79"/>
      <c r="N102" s="112"/>
      <c r="P102" s="151" t="str">
        <f aca="false">B23</f>
        <v>Värmekälla uppvärmning</v>
      </c>
      <c r="Q102" s="151" t="str">
        <f aca="false">D23</f>
        <v>BEN / Jord/berg/sjö värmepump</v>
      </c>
      <c r="R102" s="151"/>
      <c r="S102" s="151"/>
      <c r="T102" s="151"/>
      <c r="U102" s="68"/>
      <c r="V102" s="114"/>
    </row>
    <row r="103" customFormat="false" ht="16.5" hidden="false" customHeight="true" outlineLevel="0" collapsed="false">
      <c r="B103" s="111"/>
      <c r="C103" s="111"/>
      <c r="D103" s="44"/>
      <c r="E103" s="79"/>
      <c r="F103" s="79"/>
      <c r="G103" s="79"/>
      <c r="H103" s="79"/>
      <c r="I103" s="79"/>
      <c r="N103" s="112"/>
      <c r="P103" s="151" t="str">
        <f aca="false">B24</f>
        <v>Verkningsgrad /års- COP värmesystem för uppvärmning</v>
      </c>
      <c r="Q103" s="151"/>
      <c r="R103" s="151"/>
      <c r="S103" s="151" t="str">
        <f aca="false">C24</f>
        <v>ƞ</v>
      </c>
      <c r="T103" s="159" t="n">
        <f aca="false">D24</f>
        <v>2.5</v>
      </c>
      <c r="U103" s="68"/>
      <c r="V103" s="114"/>
    </row>
    <row r="104" customFormat="false" ht="16.5" hidden="false" customHeight="true" outlineLevel="0" collapsed="false">
      <c r="B104" s="111"/>
      <c r="C104" s="111"/>
      <c r="D104" s="44"/>
      <c r="E104" s="79"/>
      <c r="F104" s="79"/>
      <c r="G104" s="79"/>
      <c r="H104" s="79"/>
      <c r="I104" s="79"/>
      <c r="N104" s="112"/>
      <c r="P104" s="151" t="str">
        <f aca="false">B25</f>
        <v>Netto energi (köpt) för uppvärmning &amp; ventilationförluster.</v>
      </c>
      <c r="Q104" s="151"/>
      <c r="R104" s="151"/>
      <c r="S104" s="151" t="str">
        <f aca="false">C25</f>
        <v>kWh/år</v>
      </c>
      <c r="T104" s="158" t="n">
        <f aca="false">D25</f>
        <v>3424</v>
      </c>
      <c r="U104" s="68"/>
      <c r="V104" s="114"/>
    </row>
    <row r="105" customFormat="false" ht="31.5" hidden="false" customHeight="true" outlineLevel="0" collapsed="false">
      <c r="B105" s="111"/>
      <c r="C105" s="111"/>
      <c r="D105" s="44"/>
      <c r="E105" s="79"/>
      <c r="F105" s="79"/>
      <c r="G105" s="79"/>
      <c r="H105" s="79"/>
      <c r="I105" s="79"/>
      <c r="N105" s="112"/>
      <c r="P105" s="146" t="str">
        <f aca="false">B27</f>
        <v>Erforderlig brutto värmeeffekt för uppvärmning av byggnaden vid 21 C° inne och DVUT -13,7 C° :   </v>
      </c>
      <c r="Q105" s="146"/>
      <c r="R105" s="146"/>
      <c r="S105" s="160" t="str">
        <f aca="false">C27</f>
        <v>kW</v>
      </c>
      <c r="T105" s="161" t="n">
        <f aca="false">D27</f>
        <v>4.16</v>
      </c>
      <c r="U105" s="68"/>
      <c r="V105" s="114"/>
    </row>
    <row r="106" customFormat="false" ht="16.5" hidden="false" customHeight="true" outlineLevel="0" collapsed="false">
      <c r="B106" s="111"/>
      <c r="C106" s="111"/>
      <c r="D106" s="44"/>
      <c r="E106" s="79"/>
      <c r="F106" s="79"/>
      <c r="G106" s="79"/>
      <c r="H106" s="79"/>
      <c r="I106" s="79"/>
      <c r="N106" s="112"/>
      <c r="P106" s="151" t="str">
        <f aca="false">B28</f>
        <v>Verkningsgrad vid DVUT -13,7 för beräkning erforderlig netto-effekt</v>
      </c>
      <c r="Q106" s="151"/>
      <c r="R106" s="151"/>
      <c r="S106" s="151" t="str">
        <f aca="false">C28</f>
        <v>ƞ</v>
      </c>
      <c r="T106" s="161" t="n">
        <f aca="false">D28</f>
        <v>2.48288888888889</v>
      </c>
      <c r="U106" s="68"/>
      <c r="V106" s="114"/>
    </row>
    <row r="107" customFormat="false" ht="28.5" hidden="false" customHeight="true" outlineLevel="0" collapsed="false">
      <c r="B107" s="111"/>
      <c r="C107" s="111"/>
      <c r="D107" s="44"/>
      <c r="E107" s="79"/>
      <c r="F107" s="79"/>
      <c r="G107" s="79"/>
      <c r="H107" s="79"/>
      <c r="I107" s="79"/>
      <c r="N107" s="112"/>
      <c r="P107" s="146" t="str">
        <f aca="false">B29</f>
        <v>Erforderlig netto värmeeffekt (köpt) för uppvärmning av byggnaden vid 21 C° inne och DVUT -13,7 C° :   </v>
      </c>
      <c r="Q107" s="146"/>
      <c r="R107" s="146"/>
      <c r="S107" s="151" t="str">
        <f aca="false">C29</f>
        <v>kW</v>
      </c>
      <c r="T107" s="161" t="n">
        <f aca="false">D29</f>
        <v>1.68</v>
      </c>
      <c r="U107" s="68"/>
      <c r="V107" s="114"/>
    </row>
    <row r="108" customFormat="false" ht="16.5" hidden="false" customHeight="true" outlineLevel="0" collapsed="false">
      <c r="B108" s="111"/>
      <c r="C108" s="111"/>
      <c r="D108" s="44"/>
      <c r="E108" s="79"/>
      <c r="F108" s="79"/>
      <c r="G108" s="79"/>
      <c r="H108" s="79"/>
      <c r="I108" s="79"/>
      <c r="N108" s="112"/>
      <c r="P108" s="146" t="s">
        <v>75</v>
      </c>
      <c r="Q108" s="146"/>
      <c r="R108" s="146"/>
      <c r="S108" s="151" t="str">
        <f aca="false">S107</f>
        <v>kW</v>
      </c>
      <c r="T108" s="161" t="n">
        <f aca="false">IF(D227,T107,0)</f>
        <v>1.68</v>
      </c>
      <c r="U108" s="68"/>
      <c r="V108" s="114"/>
    </row>
    <row r="109" customFormat="false" ht="18" hidden="false" customHeight="true" outlineLevel="0" collapsed="false">
      <c r="B109" s="111"/>
      <c r="C109" s="111"/>
      <c r="D109" s="44"/>
      <c r="E109" s="79"/>
      <c r="F109" s="79"/>
      <c r="G109" s="79"/>
      <c r="H109" s="79"/>
      <c r="I109" s="79"/>
      <c r="N109" s="112"/>
      <c r="P109" s="162" t="str">
        <f aca="false">A32</f>
        <v>2 Tappvarmvatten</v>
      </c>
      <c r="S109" s="141"/>
      <c r="T109" s="157"/>
      <c r="U109" s="68"/>
      <c r="V109" s="114"/>
    </row>
    <row r="110" customFormat="false" ht="16.5" hidden="false" customHeight="true" outlineLevel="0" collapsed="false">
      <c r="B110" s="111"/>
      <c r="C110" s="111"/>
      <c r="D110" s="44"/>
      <c r="E110" s="79"/>
      <c r="F110" s="79"/>
      <c r="G110" s="79"/>
      <c r="H110" s="79"/>
      <c r="I110" s="79"/>
      <c r="N110" s="112"/>
      <c r="O110" s="162"/>
      <c r="P110" s="146" t="str">
        <f aca="false">B33</f>
        <v>Energiåtgång för värmningen av tappvarmvatten för Småhus &gt;130 m2</v>
      </c>
      <c r="Q110" s="146"/>
      <c r="R110" s="146"/>
      <c r="S110" s="146" t="str">
        <f aca="false">C33</f>
        <v>kWh/m2/år</v>
      </c>
      <c r="T110" s="148" t="n">
        <f aca="false">D33</f>
        <v>20</v>
      </c>
      <c r="U110" s="68"/>
      <c r="V110" s="114"/>
    </row>
    <row r="111" customFormat="false" ht="16.5" hidden="false" customHeight="true" outlineLevel="0" collapsed="false">
      <c r="B111" s="111"/>
      <c r="C111" s="111"/>
      <c r="D111" s="44"/>
      <c r="E111" s="79"/>
      <c r="F111" s="79"/>
      <c r="G111" s="79"/>
      <c r="H111" s="79"/>
      <c r="I111" s="79"/>
      <c r="N111" s="112"/>
      <c r="O111" s="162"/>
      <c r="P111" s="146" t="str">
        <f aca="false">B34</f>
        <v>Beräknad energiåtgång för tappvarmvatten</v>
      </c>
      <c r="Q111" s="146"/>
      <c r="R111" s="146"/>
      <c r="S111" s="146" t="str">
        <f aca="false">C34</f>
        <v>kWh/år</v>
      </c>
      <c r="T111" s="163" t="n">
        <f aca="false">D34</f>
        <v>2800</v>
      </c>
      <c r="U111" s="68"/>
      <c r="V111" s="114"/>
    </row>
    <row r="112" customFormat="false" ht="16.5" hidden="false" customHeight="true" outlineLevel="0" collapsed="false">
      <c r="B112" s="111"/>
      <c r="C112" s="111"/>
      <c r="D112" s="44"/>
      <c r="E112" s="79"/>
      <c r="F112" s="79"/>
      <c r="G112" s="79"/>
      <c r="H112" s="79"/>
      <c r="I112" s="79"/>
      <c r="N112" s="112"/>
      <c r="O112" s="162"/>
      <c r="P112" s="146" t="str">
        <f aca="false">B35</f>
        <v>Energiförlust tappvarmvattensystem</v>
      </c>
      <c r="Q112" s="146"/>
      <c r="R112" s="146"/>
      <c r="S112" s="146" t="str">
        <f aca="false">C35</f>
        <v>kW/år</v>
      </c>
      <c r="T112" s="163" t="n">
        <f aca="false">D35</f>
        <v>0</v>
      </c>
      <c r="U112" s="68"/>
      <c r="V112" s="114"/>
    </row>
    <row r="113" customFormat="false" ht="16.5" hidden="false" customHeight="true" outlineLevel="0" collapsed="false">
      <c r="B113" s="111"/>
      <c r="C113" s="111"/>
      <c r="D113" s="44"/>
      <c r="E113" s="79"/>
      <c r="F113" s="79"/>
      <c r="G113" s="79"/>
      <c r="H113" s="79"/>
      <c r="I113" s="79"/>
      <c r="N113" s="112"/>
      <c r="O113" s="162"/>
      <c r="P113" s="146" t="str">
        <f aca="false">B36</f>
        <v>Verkningsgrad: års-COP för värmesystemet uppvärmning av varmvatten</v>
      </c>
      <c r="Q113" s="146"/>
      <c r="R113" s="146"/>
      <c r="S113" s="146" t="str">
        <f aca="false">C36</f>
        <v>ƞ</v>
      </c>
      <c r="T113" s="149" t="n">
        <f aca="false">D36</f>
        <v>2.5</v>
      </c>
      <c r="U113" s="68"/>
      <c r="V113" s="114"/>
    </row>
    <row r="114" customFormat="false" ht="16.5" hidden="false" customHeight="true" outlineLevel="0" collapsed="false">
      <c r="B114" s="111"/>
      <c r="C114" s="111"/>
      <c r="D114" s="44"/>
      <c r="E114" s="79"/>
      <c r="F114" s="79"/>
      <c r="G114" s="79"/>
      <c r="H114" s="79"/>
      <c r="I114" s="79"/>
      <c r="N114" s="112"/>
      <c r="O114" s="162"/>
      <c r="P114" s="146" t="str">
        <f aca="false">B37</f>
        <v>Netto energi (köpt) för varmvatten( Etvvv)</v>
      </c>
      <c r="Q114" s="146"/>
      <c r="R114" s="146"/>
      <c r="S114" s="146" t="str">
        <f aca="false">C37</f>
        <v>kWh/år</v>
      </c>
      <c r="T114" s="163" t="n">
        <f aca="false">D37</f>
        <v>1120</v>
      </c>
      <c r="U114" s="68"/>
      <c r="V114" s="114"/>
    </row>
    <row r="115" customFormat="false" ht="16.5" hidden="false" customHeight="true" outlineLevel="0" collapsed="false">
      <c r="B115" s="111"/>
      <c r="C115" s="111"/>
      <c r="D115" s="44"/>
      <c r="E115" s="79"/>
      <c r="F115" s="79"/>
      <c r="G115" s="79"/>
      <c r="H115" s="79"/>
      <c r="I115" s="79"/>
      <c r="N115" s="112"/>
      <c r="O115" s="162"/>
      <c r="P115" s="146" t="str">
        <f aca="false">B38</f>
        <v>Brutto effekt för uppvärmning VV. 500 W brutto / lgh enl BBR</v>
      </c>
      <c r="Q115" s="146"/>
      <c r="R115" s="146"/>
      <c r="S115" s="146" t="str">
        <f aca="false">C38</f>
        <v>kW</v>
      </c>
      <c r="T115" s="149" t="n">
        <f aca="false">D38</f>
        <v>0.5</v>
      </c>
      <c r="U115" s="68"/>
      <c r="V115" s="114"/>
    </row>
    <row r="116" customFormat="false" ht="16.5" hidden="false" customHeight="true" outlineLevel="0" collapsed="false">
      <c r="B116" s="111"/>
      <c r="C116" s="111"/>
      <c r="D116" s="44"/>
      <c r="E116" s="79"/>
      <c r="F116" s="79"/>
      <c r="G116" s="79"/>
      <c r="H116" s="79"/>
      <c r="I116" s="79"/>
      <c r="N116" s="112"/>
      <c r="O116" s="162"/>
      <c r="P116" s="146" t="str">
        <f aca="false">B39</f>
        <v>Verkningsgrad VV vid DVUT -13,7 För beräkning erforderlig netto-effekt</v>
      </c>
      <c r="Q116" s="146"/>
      <c r="R116" s="146"/>
      <c r="S116" s="146" t="str">
        <f aca="false">C39</f>
        <v>ƞ</v>
      </c>
      <c r="T116" s="149" t="n">
        <f aca="false">D39</f>
        <v>2.48288888888889</v>
      </c>
      <c r="U116" s="68"/>
      <c r="V116" s="114"/>
    </row>
    <row r="117" customFormat="false" ht="16.5" hidden="false" customHeight="true" outlineLevel="0" collapsed="false">
      <c r="B117" s="111"/>
      <c r="C117" s="111"/>
      <c r="D117" s="44"/>
      <c r="E117" s="79"/>
      <c r="F117" s="79"/>
      <c r="G117" s="79"/>
      <c r="H117" s="79"/>
      <c r="I117" s="79"/>
      <c r="N117" s="112"/>
      <c r="O117" s="162"/>
      <c r="P117" s="146" t="str">
        <f aca="false">B40</f>
        <v>Nett0 effekt (köpt) uppvärmning VV. 500 W brutto / lgh enl BBR</v>
      </c>
      <c r="Q117" s="146"/>
      <c r="R117" s="146"/>
      <c r="S117" s="146" t="str">
        <f aca="false">C40</f>
        <v>kW</v>
      </c>
      <c r="T117" s="164" t="n">
        <f aca="false">D40</f>
        <v>0.201378322742325</v>
      </c>
      <c r="U117" s="68"/>
      <c r="V117" s="114"/>
    </row>
    <row r="118" customFormat="false" ht="16.5" hidden="false" customHeight="true" outlineLevel="0" collapsed="false">
      <c r="B118" s="111"/>
      <c r="C118" s="111"/>
      <c r="D118" s="44"/>
      <c r="E118" s="79"/>
      <c r="F118" s="79"/>
      <c r="G118" s="79"/>
      <c r="H118" s="79"/>
      <c r="I118" s="79"/>
      <c r="N118" s="112"/>
      <c r="O118" s="162"/>
      <c r="P118" s="146" t="s">
        <v>75</v>
      </c>
      <c r="Q118" s="146"/>
      <c r="R118" s="146"/>
      <c r="S118" s="151" t="str">
        <f aca="false">S117</f>
        <v>kW</v>
      </c>
      <c r="T118" s="165" t="n">
        <f aca="false">IF(D227,T117,0)</f>
        <v>0.201378322742325</v>
      </c>
      <c r="U118" s="68"/>
      <c r="V118" s="114"/>
    </row>
    <row r="119" customFormat="false" ht="18" hidden="false" customHeight="true" outlineLevel="0" collapsed="false">
      <c r="B119" s="111"/>
      <c r="C119" s="111"/>
      <c r="D119" s="44"/>
      <c r="E119" s="79"/>
      <c r="F119" s="79"/>
      <c r="G119" s="79"/>
      <c r="H119" s="79"/>
      <c r="I119" s="79"/>
      <c r="N119" s="112"/>
      <c r="P119" s="162" t="str">
        <f aca="false">A43</f>
        <v> 3 Fastighetsenergi, ventilation &amp; installationer.</v>
      </c>
      <c r="T119" s="166"/>
      <c r="U119" s="68"/>
      <c r="V119" s="114"/>
    </row>
    <row r="120" customFormat="false" ht="16.5" hidden="false" customHeight="true" outlineLevel="0" collapsed="false">
      <c r="B120" s="111"/>
      <c r="C120" s="111"/>
      <c r="D120" s="44"/>
      <c r="E120" s="79"/>
      <c r="F120" s="79"/>
      <c r="G120" s="79"/>
      <c r="H120" s="79"/>
      <c r="I120" s="79"/>
      <c r="N120" s="112"/>
      <c r="O120" s="162"/>
      <c r="P120" s="146" t="str">
        <f aca="false">B44</f>
        <v>Ventilationstyp</v>
      </c>
      <c r="Q120" s="146"/>
      <c r="R120" s="146"/>
      <c r="S120" s="167"/>
      <c r="T120" s="148" t="str">
        <f aca="false">D44</f>
        <v>FTX</v>
      </c>
      <c r="U120" s="68"/>
      <c r="V120" s="114"/>
    </row>
    <row r="121" customFormat="false" ht="16.5" hidden="false" customHeight="true" outlineLevel="0" collapsed="false">
      <c r="B121" s="111"/>
      <c r="C121" s="111"/>
      <c r="D121" s="44"/>
      <c r="E121" s="79"/>
      <c r="F121" s="79"/>
      <c r="G121" s="79"/>
      <c r="H121" s="79"/>
      <c r="I121" s="79"/>
      <c r="N121" s="112"/>
      <c r="O121" s="162"/>
      <c r="P121" s="146" t="str">
        <f aca="false">B45</f>
        <v>SFP Fläktmotorer</v>
      </c>
      <c r="Q121" s="146"/>
      <c r="R121" s="146"/>
      <c r="S121" s="146" t="str">
        <f aca="false">C45</f>
        <v>W//l/s</v>
      </c>
      <c r="T121" s="149" t="n">
        <f aca="false">D45</f>
        <v>1.5</v>
      </c>
      <c r="U121" s="68"/>
      <c r="V121" s="114"/>
    </row>
    <row r="122" customFormat="false" ht="16.5" hidden="false" customHeight="true" outlineLevel="0" collapsed="false">
      <c r="B122" s="111"/>
      <c r="C122" s="111"/>
      <c r="D122" s="44"/>
      <c r="E122" s="79"/>
      <c r="F122" s="79"/>
      <c r="G122" s="79"/>
      <c r="H122" s="79"/>
      <c r="I122" s="79"/>
      <c r="N122" s="112"/>
      <c r="O122" s="162"/>
      <c r="P122" s="146" t="str">
        <f aca="false">B46</f>
        <v>Energiåtgång fläktmotorer</v>
      </c>
      <c r="Q122" s="146"/>
      <c r="R122" s="146"/>
      <c r="S122" s="146" t="str">
        <f aca="false">C46</f>
        <v>W/m2</v>
      </c>
      <c r="T122" s="148" t="n">
        <f aca="false">D46</f>
        <v>0.525</v>
      </c>
      <c r="U122" s="68"/>
      <c r="V122" s="114"/>
    </row>
    <row r="123" customFormat="false" ht="16.5" hidden="false" customHeight="true" outlineLevel="0" collapsed="false">
      <c r="B123" s="111"/>
      <c r="C123" s="111"/>
      <c r="D123" s="44"/>
      <c r="E123" s="79"/>
      <c r="F123" s="79"/>
      <c r="G123" s="79"/>
      <c r="H123" s="79"/>
      <c r="I123" s="79"/>
      <c r="N123" s="112"/>
      <c r="O123" s="162"/>
      <c r="P123" s="146" t="str">
        <f aca="false">B47</f>
        <v>Energiåtgång cirkulationspumpar</v>
      </c>
      <c r="Q123" s="146"/>
      <c r="R123" s="146"/>
      <c r="S123" s="146" t="str">
        <f aca="false">C47</f>
        <v>W/m2</v>
      </c>
      <c r="T123" s="148" t="n">
        <f aca="false">D47</f>
        <v>0.15</v>
      </c>
      <c r="U123" s="68"/>
      <c r="V123" s="114"/>
    </row>
    <row r="124" customFormat="false" ht="16.5" hidden="false" customHeight="true" outlineLevel="0" collapsed="false">
      <c r="B124" s="111"/>
      <c r="C124" s="111"/>
      <c r="D124" s="44"/>
      <c r="E124" s="79"/>
      <c r="F124" s="79"/>
      <c r="G124" s="79"/>
      <c r="H124" s="79"/>
      <c r="I124" s="79"/>
      <c r="N124" s="112"/>
      <c r="P124" s="146" t="str">
        <f aca="false">B48</f>
        <v>Elektrisk energiåtgång för fläktar och cirkulationspumpar.</v>
      </c>
      <c r="Q124" s="146"/>
      <c r="R124" s="146"/>
      <c r="S124" s="146" t="str">
        <f aca="false">C48</f>
        <v>kWh/år</v>
      </c>
      <c r="T124" s="163" t="n">
        <f aca="false">D48</f>
        <v>827.82</v>
      </c>
      <c r="U124" s="117"/>
      <c r="V124" s="114"/>
    </row>
    <row r="125" customFormat="false" ht="16.5" hidden="false" customHeight="true" outlineLevel="0" collapsed="false">
      <c r="B125" s="111"/>
      <c r="C125" s="111"/>
      <c r="D125" s="44"/>
      <c r="E125" s="79"/>
      <c r="F125" s="79"/>
      <c r="G125" s="79"/>
      <c r="H125" s="79"/>
      <c r="I125" s="79"/>
      <c r="N125" s="112"/>
      <c r="P125" s="146" t="str">
        <f aca="false">B49</f>
        <v>Energiåtgång övrig fastighetsel</v>
      </c>
      <c r="Q125" s="146"/>
      <c r="R125" s="146"/>
      <c r="S125" s="146" t="str">
        <f aca="false">C49</f>
        <v>kWh/år</v>
      </c>
      <c r="T125" s="149" t="n">
        <f aca="false">D49</f>
        <v>0</v>
      </c>
      <c r="U125" s="117"/>
      <c r="V125" s="114"/>
    </row>
    <row r="126" customFormat="false" ht="16.5" hidden="false" customHeight="true" outlineLevel="0" collapsed="false">
      <c r="B126" s="111"/>
      <c r="C126" s="111"/>
      <c r="D126" s="44"/>
      <c r="E126" s="79"/>
      <c r="F126" s="79"/>
      <c r="G126" s="79"/>
      <c r="H126" s="79"/>
      <c r="I126" s="79"/>
      <c r="N126" s="112"/>
      <c r="P126" s="146" t="str">
        <f aca="false">B50</f>
        <v>Energiåtgång för fastighetens installationer: totalt</v>
      </c>
      <c r="Q126" s="146"/>
      <c r="R126" s="146"/>
      <c r="S126" s="146" t="str">
        <f aca="false">C50</f>
        <v>kWh/år</v>
      </c>
      <c r="T126" s="163" t="n">
        <f aca="false">D50</f>
        <v>827.82</v>
      </c>
      <c r="U126" s="117"/>
      <c r="V126" s="114"/>
    </row>
    <row r="127" customFormat="false" ht="18" hidden="false" customHeight="true" outlineLevel="0" collapsed="false">
      <c r="B127" s="111"/>
      <c r="C127" s="111"/>
      <c r="D127" s="44"/>
      <c r="E127" s="79"/>
      <c r="F127" s="79"/>
      <c r="G127" s="79"/>
      <c r="H127" s="79"/>
      <c r="I127" s="79"/>
      <c r="N127" s="112"/>
      <c r="P127" s="43" t="str">
        <f aca="false">A54</f>
        <v>4 BBR -Primärtal delparametrar</v>
      </c>
      <c r="S127" s="119"/>
      <c r="T127" s="168"/>
      <c r="U127" s="117"/>
      <c r="V127" s="114"/>
    </row>
    <row r="128" customFormat="false" ht="24" hidden="false" customHeight="true" outlineLevel="0" collapsed="false">
      <c r="B128" s="111"/>
      <c r="C128" s="111"/>
      <c r="D128" s="44"/>
      <c r="E128" s="79"/>
      <c r="F128" s="79"/>
      <c r="G128" s="79"/>
      <c r="H128" s="79"/>
      <c r="I128" s="79"/>
      <c r="N128" s="112"/>
      <c r="O128" s="43"/>
      <c r="P128" s="146" t="str">
        <f aca="false">B26</f>
        <v>Netto energi (köpt) för uppvärmning och ventillation /1 (Fgeo Stockholm)</v>
      </c>
      <c r="Q128" s="146"/>
      <c r="R128" s="146"/>
      <c r="S128" s="169" t="str">
        <f aca="false">C26</f>
        <v>mod(kWh/år)</v>
      </c>
      <c r="T128" s="170" t="n">
        <f aca="false">D26</f>
        <v>3424</v>
      </c>
      <c r="U128" s="117"/>
      <c r="V128" s="114"/>
    </row>
    <row r="129" customFormat="false" ht="16.5" hidden="false" customHeight="true" outlineLevel="0" collapsed="false">
      <c r="B129" s="111"/>
      <c r="C129" s="111"/>
      <c r="D129" s="44"/>
      <c r="E129" s="79"/>
      <c r="F129" s="79"/>
      <c r="G129" s="79"/>
      <c r="H129" s="79"/>
      <c r="I129" s="79"/>
      <c r="N129" s="112"/>
      <c r="O129" s="43"/>
      <c r="P129" s="146" t="str">
        <f aca="false">B37</f>
        <v>Netto energi (köpt) för varmvatten( Etvvv)</v>
      </c>
      <c r="Q129" s="146"/>
      <c r="R129" s="146"/>
      <c r="S129" s="169" t="str">
        <f aca="false">C37</f>
        <v>kWh/år</v>
      </c>
      <c r="T129" s="170" t="n">
        <f aca="false">D37</f>
        <v>1120</v>
      </c>
      <c r="U129" s="117"/>
      <c r="V129" s="114"/>
    </row>
    <row r="130" customFormat="false" ht="16.5" hidden="false" customHeight="true" outlineLevel="0" collapsed="false">
      <c r="B130" s="111"/>
      <c r="C130" s="111"/>
      <c r="D130" s="44"/>
      <c r="E130" s="79"/>
      <c r="F130" s="79"/>
      <c r="G130" s="79"/>
      <c r="H130" s="79"/>
      <c r="I130" s="79"/>
      <c r="N130" s="112"/>
      <c r="O130" s="43"/>
      <c r="P130" s="146" t="str">
        <f aca="false">B50</f>
        <v>Energiåtgång för fastighetens installationer: totalt</v>
      </c>
      <c r="Q130" s="146"/>
      <c r="R130" s="146"/>
      <c r="S130" s="169" t="str">
        <f aca="false">C50</f>
        <v>kWh/år</v>
      </c>
      <c r="T130" s="170" t="n">
        <f aca="false">D50</f>
        <v>827.82</v>
      </c>
      <c r="U130" s="117"/>
      <c r="V130" s="114"/>
    </row>
    <row r="131" customFormat="false" ht="16.5" hidden="false" customHeight="true" outlineLevel="0" collapsed="false">
      <c r="B131" s="111"/>
      <c r="C131" s="111"/>
      <c r="D131" s="44"/>
      <c r="E131" s="79"/>
      <c r="F131" s="79"/>
      <c r="G131" s="79"/>
      <c r="H131" s="79"/>
      <c r="I131" s="79"/>
      <c r="N131" s="112"/>
      <c r="P131" s="146" t="str">
        <f aca="false">B55</f>
        <v>Primärenergifaktor uppvärmning &amp; VV via BEN / Jord/berg/sjö värmepump</v>
      </c>
      <c r="Q131" s="146"/>
      <c r="R131" s="146"/>
      <c r="S131" s="147" t="str">
        <f aca="false">C55</f>
        <v>Pei</v>
      </c>
      <c r="T131" s="149" t="n">
        <f aca="false">D55</f>
        <v>1.8</v>
      </c>
      <c r="U131" s="117"/>
      <c r="V131" s="114"/>
    </row>
    <row r="132" customFormat="false" ht="16.5" hidden="false" customHeight="true" outlineLevel="0" collapsed="false">
      <c r="B132" s="111"/>
      <c r="C132" s="111"/>
      <c r="D132" s="44"/>
      <c r="E132" s="79"/>
      <c r="F132" s="79"/>
      <c r="G132" s="79"/>
      <c r="H132" s="79"/>
      <c r="I132" s="79"/>
      <c r="N132" s="112"/>
      <c r="P132" s="146" t="str">
        <f aca="false">B56</f>
        <v>Primärenergifaktor fastighetsenergi</v>
      </c>
      <c r="Q132" s="146"/>
      <c r="R132" s="146"/>
      <c r="S132" s="147" t="str">
        <f aca="false">C56</f>
        <v>Pei</v>
      </c>
      <c r="T132" s="149" t="n">
        <f aca="false">D56</f>
        <v>1.8</v>
      </c>
      <c r="U132" s="117"/>
      <c r="V132" s="114"/>
    </row>
    <row r="133" customFormat="false" ht="25.5" hidden="false" customHeight="true" outlineLevel="0" collapsed="false">
      <c r="B133" s="111"/>
      <c r="C133" s="111"/>
      <c r="D133" s="44"/>
      <c r="E133" s="79"/>
      <c r="F133" s="79"/>
      <c r="G133" s="79"/>
      <c r="H133" s="79"/>
      <c r="I133" s="79"/>
      <c r="N133" s="112"/>
      <c r="P133" s="146" t="str">
        <f aca="false">B57</f>
        <v>Byggnadens primärenergital    EPpet</v>
      </c>
      <c r="Q133" s="146"/>
      <c r="R133" s="146"/>
      <c r="S133" s="147" t="str">
        <f aca="false">C57</f>
        <v>modifierad
kWh/m2/år</v>
      </c>
      <c r="T133" s="149" t="n">
        <f aca="false">D57</f>
        <v>69.0662571428571</v>
      </c>
      <c r="U133" s="117"/>
      <c r="V133" s="114"/>
    </row>
    <row r="134" customFormat="false" ht="16.5" hidden="false" customHeight="true" outlineLevel="0" collapsed="false">
      <c r="B134" s="111"/>
      <c r="C134" s="111"/>
      <c r="D134" s="44"/>
      <c r="E134" s="79"/>
      <c r="F134" s="79"/>
      <c r="G134" s="79"/>
      <c r="H134" s="79"/>
      <c r="I134" s="79"/>
      <c r="N134" s="112"/>
      <c r="P134" s="146" t="str">
        <f aca="false">B59</f>
        <v/>
      </c>
      <c r="Q134" s="146"/>
      <c r="R134" s="146"/>
      <c r="S134" s="147" t="str">
        <f aca="false">C59</f>
        <v/>
      </c>
      <c r="T134" s="149" t="str">
        <f aca="false">D59</f>
        <v/>
      </c>
      <c r="U134" s="117"/>
      <c r="V134" s="114"/>
    </row>
    <row r="135" customFormat="false" ht="25.5" hidden="false" customHeight="true" outlineLevel="0" collapsed="false">
      <c r="B135" s="111"/>
      <c r="C135" s="111"/>
      <c r="D135" s="44"/>
      <c r="E135" s="79"/>
      <c r="F135" s="79"/>
      <c r="G135" s="79"/>
      <c r="H135" s="79"/>
      <c r="I135" s="79"/>
      <c r="N135" s="112"/>
      <c r="P135" s="43" t="str">
        <f aca="false">A60</f>
        <v>Nyckeltal  - utöver  BBR redovisning</v>
      </c>
      <c r="S135" s="171"/>
      <c r="T135" s="171"/>
      <c r="U135" s="117"/>
      <c r="V135" s="114"/>
    </row>
    <row r="136" customFormat="false" ht="16.5" hidden="false" customHeight="true" outlineLevel="0" collapsed="false">
      <c r="B136" s="111"/>
      <c r="C136" s="111"/>
      <c r="D136" s="44"/>
      <c r="E136" s="79"/>
      <c r="F136" s="79"/>
      <c r="G136" s="79"/>
      <c r="H136" s="79"/>
      <c r="I136" s="79"/>
      <c r="N136" s="112"/>
      <c r="P136" s="146" t="str">
        <f aca="false">B62</f>
        <v>Total erforderlig energiförbrukning för uppvärmning av byggnaden och varmvatten</v>
      </c>
      <c r="Q136" s="146"/>
      <c r="R136" s="146"/>
      <c r="S136" s="147" t="str">
        <f aca="false">C62</f>
        <v>kWh/år</v>
      </c>
      <c r="T136" s="163" t="n">
        <f aca="false">D62</f>
        <v>11360</v>
      </c>
      <c r="U136" s="117"/>
      <c r="V136" s="114"/>
    </row>
    <row r="137" customFormat="false" ht="16.5" hidden="false" customHeight="true" outlineLevel="0" collapsed="false">
      <c r="B137" s="111"/>
      <c r="C137" s="111"/>
      <c r="D137" s="44"/>
      <c r="E137" s="79"/>
      <c r="F137" s="79"/>
      <c r="G137" s="79"/>
      <c r="H137" s="79"/>
      <c r="I137" s="79"/>
      <c r="N137" s="112"/>
      <c r="P137" s="146" t="str">
        <f aca="false">B63</f>
        <v>Jord/Berg -värmepump besparing @BEN</v>
      </c>
      <c r="Q137" s="146"/>
      <c r="R137" s="146"/>
      <c r="S137" s="151" t="s">
        <v>19</v>
      </c>
      <c r="T137" s="163" t="n">
        <f aca="false">D63</f>
        <v>6816</v>
      </c>
      <c r="U137" s="117"/>
      <c r="V137" s="114"/>
    </row>
    <row r="138" customFormat="false" ht="28.5" hidden="false" customHeight="true" outlineLevel="0" collapsed="false">
      <c r="B138" s="111"/>
      <c r="C138" s="111"/>
      <c r="D138" s="44"/>
      <c r="E138" s="79"/>
      <c r="F138" s="79"/>
      <c r="G138" s="79"/>
      <c r="H138" s="79"/>
      <c r="I138" s="79"/>
      <c r="N138" s="112"/>
      <c r="O138" s="115"/>
      <c r="P138" s="146" t="str">
        <f aca="false">B64</f>
        <v>Totalt netto energi för uppvärmning och varmvatten. Hänsyn tagen till värmesystemets verkningsgrad.</v>
      </c>
      <c r="Q138" s="146"/>
      <c r="R138" s="146"/>
      <c r="S138" s="172" t="str">
        <f aca="false">C64</f>
        <v>kWh/år</v>
      </c>
      <c r="T138" s="163" t="n">
        <f aca="false">D64</f>
        <v>4544</v>
      </c>
      <c r="U138" s="117"/>
      <c r="V138" s="114"/>
    </row>
    <row r="139" customFormat="false" ht="16.5" hidden="false" customHeight="true" outlineLevel="0" collapsed="false">
      <c r="B139" s="111"/>
      <c r="C139" s="111"/>
      <c r="D139" s="44"/>
      <c r="E139" s="79"/>
      <c r="F139" s="79"/>
      <c r="G139" s="79"/>
      <c r="H139" s="79"/>
      <c r="I139" s="79"/>
      <c r="N139" s="112"/>
      <c r="P139" s="146" t="str">
        <f aca="false">B65</f>
        <v>Energiåtgång för fastighetens installationer: totalt</v>
      </c>
      <c r="Q139" s="146"/>
      <c r="R139" s="146"/>
      <c r="S139" s="172" t="str">
        <f aca="false">C65</f>
        <v>kWh/år</v>
      </c>
      <c r="T139" s="163" t="n">
        <f aca="false">D65</f>
        <v>827.82</v>
      </c>
      <c r="U139" s="117"/>
      <c r="V139" s="114"/>
    </row>
    <row r="140" customFormat="false" ht="30" hidden="false" customHeight="true" outlineLevel="0" collapsed="false">
      <c r="B140" s="111"/>
      <c r="C140" s="111"/>
      <c r="D140" s="44"/>
      <c r="E140" s="79"/>
      <c r="F140" s="79"/>
      <c r="G140" s="79"/>
      <c r="H140" s="79"/>
      <c r="I140" s="79"/>
      <c r="N140" s="112"/>
      <c r="O140" s="115"/>
      <c r="P140" s="146" t="str">
        <f aca="false">B66</f>
        <v>Total netto energiförbrukning (köpt energi ) för värme varmvatten och fastighetsenergi.</v>
      </c>
      <c r="Q140" s="146"/>
      <c r="R140" s="146"/>
      <c r="S140" s="146" t="str">
        <f aca="false">C66</f>
        <v>kWh/år</v>
      </c>
      <c r="T140" s="163" t="n">
        <f aca="false">D66</f>
        <v>5371.82</v>
      </c>
      <c r="U140" s="117"/>
      <c r="V140" s="114"/>
    </row>
    <row r="141" customFormat="false" ht="16.5" hidden="false" customHeight="true" outlineLevel="0" collapsed="false">
      <c r="B141" s="111"/>
      <c r="C141" s="111"/>
      <c r="D141" s="44"/>
      <c r="E141" s="79"/>
      <c r="F141" s="79"/>
      <c r="G141" s="79"/>
      <c r="H141" s="79"/>
      <c r="I141" s="79"/>
      <c r="N141" s="64"/>
      <c r="O141" s="115"/>
      <c r="P141" s="146" t="str">
        <f aca="false">B67</f>
        <v>Specefik energi: (köpt energi för uppvärmning, VV. och fastighetsel) / Atemp</v>
      </c>
      <c r="Q141" s="146"/>
      <c r="R141" s="146"/>
      <c r="S141" s="146" t="str">
        <f aca="false">C67</f>
        <v>kWh/m2/år</v>
      </c>
      <c r="T141" s="173" t="n">
        <f aca="false">D67</f>
        <v>38.3701428571428</v>
      </c>
      <c r="U141" s="117"/>
      <c r="V141" s="114"/>
    </row>
    <row r="142" customFormat="false" ht="15" hidden="false" customHeight="true" outlineLevel="0" collapsed="false">
      <c r="B142" s="111"/>
      <c r="C142" s="111"/>
      <c r="D142" s="44"/>
      <c r="E142" s="79"/>
      <c r="F142" s="79"/>
      <c r="G142" s="79"/>
      <c r="H142" s="79"/>
      <c r="I142" s="79"/>
      <c r="N142" s="64"/>
      <c r="P142" s="157" t="s">
        <v>60</v>
      </c>
      <c r="S142" s="115"/>
      <c r="T142" s="116"/>
      <c r="U142" s="117"/>
      <c r="V142" s="114"/>
    </row>
    <row r="143" customFormat="false" ht="31.5" hidden="false" customHeight="true" outlineLevel="0" collapsed="false">
      <c r="B143" s="111"/>
      <c r="C143" s="111"/>
      <c r="D143" s="44"/>
      <c r="E143" s="79"/>
      <c r="F143" s="79"/>
      <c r="G143" s="79"/>
      <c r="H143" s="79"/>
      <c r="I143" s="79"/>
      <c r="N143" s="112"/>
      <c r="P143" s="174" t="str">
        <f aca="false">B71</f>
        <v>Information om energiberäkningar vid bygganmälan hämtade från: Boverkets byggregler  BFS 2011:6 med ändringar t.o.m. BFS 2024:5 BBR 30, samt med standardiserade indata enligt BEN1 med ändringar t.o.m. BEN 3</v>
      </c>
      <c r="Q143" s="174"/>
      <c r="R143" s="174"/>
      <c r="S143" s="174"/>
      <c r="T143" s="174"/>
      <c r="U143" s="166"/>
      <c r="V143" s="114"/>
    </row>
    <row r="144" customFormat="false" ht="18" hidden="false" customHeight="true" outlineLevel="0" collapsed="false">
      <c r="B144" s="111"/>
      <c r="C144" s="111"/>
      <c r="D144" s="44"/>
      <c r="E144" s="79"/>
      <c r="F144" s="79"/>
      <c r="G144" s="79"/>
      <c r="H144" s="79"/>
      <c r="I144" s="79"/>
      <c r="N144" s="112"/>
      <c r="P144" s="174" t="str">
        <f aca="false">B72</f>
        <v>Energibalansberäkningen är utförd med EnergyCalc  enligt ISO 13790, se bilaga.</v>
      </c>
      <c r="Q144" s="174"/>
      <c r="R144" s="174"/>
      <c r="S144" s="174"/>
      <c r="T144" s="174"/>
      <c r="U144" s="175"/>
      <c r="V144" s="114"/>
    </row>
    <row r="145" customFormat="false" ht="16.5" hidden="false" customHeight="true" outlineLevel="0" collapsed="false">
      <c r="B145" s="111"/>
      <c r="C145" s="111"/>
      <c r="D145" s="44"/>
      <c r="E145" s="79"/>
      <c r="F145" s="79"/>
      <c r="G145" s="79"/>
      <c r="H145" s="79"/>
      <c r="I145" s="79"/>
      <c r="N145" s="112"/>
      <c r="P145" s="176" t="str">
        <f aca="false">B73</f>
        <v>Värmesystemet och dess prestanda måste kontrolleras dimensioneras av VVS leverantör</v>
      </c>
      <c r="Q145" s="176"/>
      <c r="R145" s="176"/>
      <c r="S145" s="176"/>
      <c r="T145" s="176"/>
      <c r="U145" s="177"/>
      <c r="V145" s="114"/>
    </row>
    <row r="146" customFormat="false" ht="43.5" hidden="false" customHeight="true" outlineLevel="0" collapsed="false">
      <c r="B146" s="111"/>
      <c r="C146" s="111"/>
      <c r="D146" s="44"/>
      <c r="E146" s="79"/>
      <c r="F146" s="79"/>
      <c r="G146" s="79"/>
      <c r="H146" s="79"/>
      <c r="I146" s="79"/>
      <c r="N146" s="112"/>
      <c r="P146" s="178" t="str">
        <f aca="false">IF((B74="skriv över med egen kommentar"),"",B74)</f>
        <v/>
      </c>
      <c r="Q146" s="178"/>
      <c r="R146" s="178"/>
      <c r="S146" s="178"/>
      <c r="T146" s="178"/>
      <c r="U146" s="178"/>
      <c r="V146" s="114"/>
    </row>
    <row r="147" customFormat="false" ht="13.5" hidden="false" customHeight="true" outlineLevel="0" collapsed="false">
      <c r="C147" s="111"/>
      <c r="D147" s="44"/>
      <c r="E147" s="79"/>
      <c r="F147" s="79"/>
      <c r="G147" s="79"/>
      <c r="H147" s="79"/>
      <c r="I147" s="79"/>
      <c r="N147" s="179"/>
      <c r="O147" s="180"/>
      <c r="P147" s="180"/>
      <c r="Q147" s="180"/>
      <c r="R147" s="181"/>
      <c r="S147" s="180"/>
      <c r="T147" s="180"/>
      <c r="U147" s="180"/>
      <c r="V147" s="182"/>
    </row>
    <row r="148" customFormat="false" ht="12.75" hidden="false" customHeight="true" outlineLevel="0" collapsed="false">
      <c r="A148" s="15"/>
      <c r="B148" s="111"/>
      <c r="C148" s="111"/>
      <c r="D148" s="44"/>
      <c r="E148" s="79"/>
      <c r="F148" s="79"/>
      <c r="G148" s="79"/>
      <c r="H148" s="79"/>
      <c r="I148" s="79"/>
    </row>
    <row r="149" customFormat="false" ht="12.75" hidden="false" customHeight="true" outlineLevel="0" collapsed="false">
      <c r="A149" s="15"/>
      <c r="B149" s="111"/>
      <c r="C149" s="111"/>
      <c r="D149" s="44"/>
      <c r="E149" s="79"/>
      <c r="F149" s="79"/>
      <c r="G149" s="79"/>
      <c r="H149" s="79"/>
      <c r="I149" s="79"/>
    </row>
    <row r="150" customFormat="false" ht="12.75" hidden="false" customHeight="true" outlineLevel="0" collapsed="false">
      <c r="A150" s="15"/>
      <c r="B150" s="111"/>
      <c r="C150" s="111"/>
      <c r="D150" s="44"/>
      <c r="E150" s="79"/>
      <c r="F150" s="79"/>
      <c r="G150" s="79"/>
      <c r="H150" s="79"/>
      <c r="I150" s="79"/>
    </row>
    <row r="151" customFormat="false" ht="12.75" hidden="false" customHeight="true" outlineLevel="0" collapsed="false">
      <c r="A151" s="15"/>
      <c r="B151" s="111"/>
      <c r="C151" s="111"/>
      <c r="D151" s="44"/>
      <c r="E151" s="79"/>
      <c r="F151" s="79"/>
      <c r="G151" s="79"/>
      <c r="H151" s="79"/>
      <c r="I151" s="79"/>
    </row>
    <row r="152" customFormat="false" ht="12.75" hidden="false" customHeight="true" outlineLevel="0" collapsed="false">
      <c r="A152" s="15"/>
      <c r="B152" s="111"/>
      <c r="C152" s="111"/>
      <c r="D152" s="44"/>
      <c r="E152" s="79"/>
      <c r="F152" s="79"/>
      <c r="G152" s="79"/>
      <c r="H152" s="79"/>
      <c r="I152" s="79"/>
    </row>
    <row r="153" customFormat="false" ht="12.75" hidden="false" customHeight="true" outlineLevel="0" collapsed="false">
      <c r="A153" s="15"/>
      <c r="B153" s="111"/>
      <c r="C153" s="111"/>
      <c r="D153" s="44"/>
      <c r="E153" s="79"/>
      <c r="F153" s="79"/>
      <c r="G153" s="79"/>
      <c r="H153" s="79"/>
      <c r="I153" s="79"/>
    </row>
    <row r="154" customFormat="false" ht="12.75" hidden="false" customHeight="true" outlineLevel="0" collapsed="false">
      <c r="A154" s="15"/>
      <c r="B154" s="111"/>
      <c r="C154" s="111"/>
      <c r="D154" s="44"/>
      <c r="E154" s="79"/>
      <c r="F154" s="79"/>
      <c r="G154" s="79"/>
      <c r="H154" s="79"/>
      <c r="I154" s="79"/>
    </row>
    <row r="155" customFormat="false" ht="12.75" hidden="false" customHeight="true" outlineLevel="0" collapsed="false">
      <c r="A155" s="15"/>
      <c r="B155" s="111"/>
      <c r="C155" s="111"/>
      <c r="D155" s="44"/>
      <c r="E155" s="79"/>
      <c r="F155" s="79"/>
      <c r="G155" s="79"/>
      <c r="H155" s="79"/>
      <c r="I155" s="79"/>
    </row>
    <row r="156" customFormat="false" ht="12.75" hidden="false" customHeight="true" outlineLevel="0" collapsed="false">
      <c r="A156" s="15"/>
      <c r="B156" s="111"/>
      <c r="C156" s="111"/>
      <c r="D156" s="44"/>
      <c r="E156" s="79"/>
      <c r="F156" s="79"/>
      <c r="G156" s="79"/>
      <c r="H156" s="79"/>
      <c r="I156" s="79"/>
    </row>
    <row r="157" customFormat="false" ht="12.75" hidden="false" customHeight="true" outlineLevel="0" collapsed="false">
      <c r="A157" s="15"/>
      <c r="B157" s="111"/>
      <c r="C157" s="111"/>
      <c r="D157" s="44"/>
      <c r="E157" s="79"/>
      <c r="F157" s="79"/>
      <c r="G157" s="79"/>
      <c r="H157" s="79"/>
      <c r="I157" s="79"/>
    </row>
    <row r="158" customFormat="false" ht="12.75" hidden="false" customHeight="true" outlineLevel="0" collapsed="false">
      <c r="A158" s="15"/>
      <c r="B158" s="111"/>
      <c r="C158" s="111"/>
      <c r="D158" s="44"/>
      <c r="E158" s="79"/>
      <c r="F158" s="79"/>
      <c r="G158" s="79"/>
      <c r="H158" s="79"/>
      <c r="I158" s="79"/>
    </row>
    <row r="159" customFormat="false" ht="12.75" hidden="false" customHeight="true" outlineLevel="0" collapsed="false">
      <c r="A159" s="15"/>
      <c r="B159" s="111"/>
      <c r="C159" s="111"/>
      <c r="D159" s="44"/>
      <c r="E159" s="79"/>
      <c r="F159" s="79"/>
      <c r="G159" s="79"/>
      <c r="H159" s="79"/>
      <c r="I159" s="79"/>
    </row>
    <row r="160" customFormat="false" ht="12.75" hidden="false" customHeight="true" outlineLevel="0" collapsed="false">
      <c r="A160" s="15"/>
      <c r="B160" s="111"/>
      <c r="C160" s="111"/>
      <c r="D160" s="44"/>
      <c r="E160" s="79"/>
      <c r="F160" s="79"/>
      <c r="G160" s="79"/>
      <c r="H160" s="79"/>
      <c r="I160" s="79"/>
    </row>
    <row r="161" customFormat="false" ht="12.75" hidden="false" customHeight="true" outlineLevel="0" collapsed="false">
      <c r="A161" s="15"/>
      <c r="B161" s="111"/>
      <c r="C161" s="111"/>
      <c r="D161" s="44"/>
      <c r="E161" s="79"/>
      <c r="F161" s="79"/>
      <c r="G161" s="79"/>
      <c r="H161" s="79"/>
      <c r="I161" s="79"/>
    </row>
    <row r="162" customFormat="false" ht="12.75" hidden="false" customHeight="true" outlineLevel="0" collapsed="false">
      <c r="A162" s="15"/>
      <c r="B162" s="111"/>
      <c r="C162" s="111"/>
      <c r="D162" s="44"/>
      <c r="E162" s="79"/>
      <c r="F162" s="79"/>
      <c r="G162" s="79"/>
      <c r="H162" s="79"/>
      <c r="I162" s="79"/>
    </row>
    <row r="163" customFormat="false" ht="12.75" hidden="false" customHeight="true" outlineLevel="0" collapsed="false">
      <c r="A163" s="15"/>
      <c r="B163" s="111"/>
      <c r="C163" s="111"/>
      <c r="D163" s="44"/>
      <c r="E163" s="79"/>
      <c r="F163" s="79"/>
      <c r="G163" s="79"/>
      <c r="H163" s="79"/>
      <c r="I163" s="79"/>
    </row>
    <row r="164" customFormat="false" ht="12.75" hidden="false" customHeight="true" outlineLevel="0" collapsed="false">
      <c r="A164" s="15"/>
      <c r="B164" s="111"/>
      <c r="C164" s="111"/>
      <c r="D164" s="44"/>
      <c r="E164" s="79"/>
      <c r="F164" s="79"/>
      <c r="G164" s="79"/>
      <c r="H164" s="79"/>
      <c r="I164" s="79"/>
    </row>
    <row r="165" customFormat="false" ht="12.75" hidden="false" customHeight="true" outlineLevel="0" collapsed="false">
      <c r="A165" s="15"/>
      <c r="B165" s="111"/>
      <c r="C165" s="111"/>
      <c r="D165" s="44"/>
      <c r="E165" s="79"/>
      <c r="F165" s="79"/>
      <c r="G165" s="79"/>
      <c r="H165" s="79"/>
      <c r="I165" s="79"/>
    </row>
    <row r="166" customFormat="false" ht="12.75" hidden="false" customHeight="true" outlineLevel="0" collapsed="false">
      <c r="A166" s="15"/>
      <c r="B166" s="111"/>
      <c r="C166" s="111"/>
      <c r="D166" s="44"/>
      <c r="E166" s="79"/>
      <c r="F166" s="79"/>
      <c r="G166" s="79"/>
      <c r="H166" s="79"/>
      <c r="I166" s="79"/>
    </row>
    <row r="167" customFormat="false" ht="12.75" hidden="false" customHeight="true" outlineLevel="0" collapsed="false">
      <c r="A167" s="15"/>
      <c r="B167" s="111"/>
      <c r="C167" s="111"/>
      <c r="D167" s="44"/>
      <c r="E167" s="79"/>
      <c r="F167" s="79"/>
      <c r="G167" s="79"/>
      <c r="H167" s="79"/>
      <c r="I167" s="79"/>
    </row>
    <row r="168" customFormat="false" ht="12.75" hidden="false" customHeight="true" outlineLevel="0" collapsed="false">
      <c r="A168" s="15"/>
      <c r="B168" s="111"/>
      <c r="C168" s="111"/>
      <c r="D168" s="44"/>
      <c r="E168" s="79"/>
      <c r="F168" s="79"/>
      <c r="G168" s="79"/>
      <c r="H168" s="79"/>
      <c r="I168" s="79"/>
    </row>
    <row r="169" customFormat="false" ht="12.75" hidden="false" customHeight="true" outlineLevel="0" collapsed="false">
      <c r="A169" s="15"/>
      <c r="B169" s="111"/>
      <c r="C169" s="111"/>
      <c r="D169" s="44"/>
      <c r="E169" s="79"/>
      <c r="F169" s="79"/>
      <c r="G169" s="79"/>
      <c r="H169" s="79"/>
      <c r="I169" s="79"/>
    </row>
    <row r="170" customFormat="false" ht="12.75" hidden="false" customHeight="true" outlineLevel="0" collapsed="false">
      <c r="A170" s="15"/>
      <c r="B170" s="111"/>
      <c r="C170" s="111"/>
      <c r="D170" s="44"/>
      <c r="E170" s="79"/>
      <c r="F170" s="79"/>
      <c r="G170" s="79"/>
      <c r="H170" s="79"/>
      <c r="I170" s="79"/>
    </row>
    <row r="171" customFormat="false" ht="12.75" hidden="false" customHeight="true" outlineLevel="0" collapsed="false">
      <c r="A171" s="15"/>
      <c r="B171" s="111"/>
      <c r="C171" s="111"/>
      <c r="D171" s="44"/>
      <c r="E171" s="79"/>
      <c r="F171" s="79"/>
      <c r="G171" s="79"/>
      <c r="H171" s="79"/>
      <c r="I171" s="79"/>
    </row>
    <row r="172" customFormat="false" ht="12.75" hidden="false" customHeight="true" outlineLevel="0" collapsed="false">
      <c r="A172" s="15"/>
      <c r="B172" s="111"/>
      <c r="C172" s="111"/>
      <c r="D172" s="44"/>
      <c r="E172" s="79"/>
      <c r="F172" s="79"/>
      <c r="G172" s="79"/>
      <c r="H172" s="79"/>
      <c r="I172" s="79"/>
    </row>
    <row r="173" customFormat="false" ht="12.75" hidden="false" customHeight="true" outlineLevel="0" collapsed="false">
      <c r="A173" s="15"/>
      <c r="B173" s="111"/>
      <c r="C173" s="111"/>
      <c r="D173" s="44"/>
      <c r="E173" s="79"/>
      <c r="F173" s="79"/>
      <c r="G173" s="79"/>
      <c r="H173" s="79"/>
      <c r="I173" s="79"/>
    </row>
    <row r="174" customFormat="false" ht="12.75" hidden="false" customHeight="true" outlineLevel="0" collapsed="false">
      <c r="A174" s="15"/>
      <c r="B174" s="111"/>
      <c r="C174" s="111"/>
      <c r="D174" s="44"/>
      <c r="E174" s="79"/>
      <c r="F174" s="79"/>
      <c r="G174" s="79"/>
      <c r="H174" s="79"/>
      <c r="I174" s="79"/>
    </row>
    <row r="175" customFormat="false" ht="12.75" hidden="false" customHeight="true" outlineLevel="0" collapsed="false">
      <c r="A175" s="15"/>
      <c r="B175" s="111"/>
      <c r="C175" s="111"/>
      <c r="D175" s="44"/>
      <c r="E175" s="79"/>
      <c r="F175" s="79"/>
      <c r="G175" s="79"/>
      <c r="H175" s="79"/>
      <c r="I175" s="79"/>
    </row>
    <row r="176" customFormat="false" ht="12.75" hidden="false" customHeight="true" outlineLevel="0" collapsed="false">
      <c r="A176" s="15"/>
      <c r="B176" s="111"/>
      <c r="C176" s="111"/>
      <c r="D176" s="44"/>
      <c r="E176" s="79"/>
      <c r="F176" s="79"/>
      <c r="G176" s="79"/>
      <c r="H176" s="79"/>
      <c r="I176" s="79"/>
    </row>
    <row r="177" customFormat="false" ht="12.75" hidden="false" customHeight="true" outlineLevel="0" collapsed="false">
      <c r="A177" s="15"/>
      <c r="B177" s="111"/>
      <c r="C177" s="111"/>
      <c r="D177" s="44"/>
      <c r="E177" s="79"/>
      <c r="F177" s="79"/>
      <c r="G177" s="79"/>
      <c r="H177" s="79"/>
      <c r="I177" s="79"/>
    </row>
    <row r="178" customFormat="false" ht="12.75" hidden="false" customHeight="true" outlineLevel="0" collapsed="false">
      <c r="A178" s="15"/>
      <c r="B178" s="111"/>
      <c r="C178" s="111"/>
      <c r="D178" s="44"/>
      <c r="E178" s="79"/>
      <c r="F178" s="79"/>
      <c r="G178" s="79"/>
      <c r="H178" s="79"/>
      <c r="I178" s="79"/>
    </row>
    <row r="179" customFormat="false" ht="12.75" hidden="false" customHeight="true" outlineLevel="0" collapsed="false">
      <c r="A179" s="15"/>
      <c r="B179" s="111"/>
      <c r="C179" s="111"/>
      <c r="D179" s="44"/>
      <c r="E179" s="79"/>
      <c r="F179" s="79"/>
      <c r="G179" s="79"/>
      <c r="H179" s="79"/>
      <c r="I179" s="79"/>
    </row>
    <row r="180" customFormat="false" ht="12.75" hidden="false" customHeight="true" outlineLevel="0" collapsed="false">
      <c r="A180" s="15"/>
      <c r="B180" s="111"/>
      <c r="C180" s="111"/>
      <c r="D180" s="44"/>
      <c r="E180" s="79"/>
      <c r="F180" s="79"/>
      <c r="G180" s="79"/>
      <c r="H180" s="79"/>
      <c r="I180" s="79"/>
    </row>
    <row r="181" customFormat="false" ht="12.75" hidden="false" customHeight="true" outlineLevel="0" collapsed="false">
      <c r="A181" s="15"/>
      <c r="B181" s="111"/>
      <c r="C181" s="111"/>
      <c r="D181" s="44"/>
      <c r="E181" s="79"/>
      <c r="F181" s="79"/>
      <c r="G181" s="79"/>
      <c r="H181" s="79"/>
      <c r="I181" s="79"/>
    </row>
    <row r="182" customFormat="false" ht="12.75" hidden="false" customHeight="true" outlineLevel="0" collapsed="false">
      <c r="A182" s="15"/>
      <c r="B182" s="111"/>
      <c r="C182" s="111"/>
      <c r="D182" s="44"/>
      <c r="E182" s="79"/>
      <c r="F182" s="79"/>
      <c r="G182" s="79"/>
      <c r="H182" s="79"/>
      <c r="I182" s="79"/>
    </row>
    <row r="183" customFormat="false" ht="12.75" hidden="false" customHeight="true" outlineLevel="0" collapsed="false">
      <c r="A183" s="15"/>
      <c r="B183" s="111"/>
      <c r="C183" s="111"/>
      <c r="D183" s="44"/>
      <c r="E183" s="79"/>
      <c r="F183" s="79"/>
      <c r="G183" s="79"/>
      <c r="H183" s="79"/>
      <c r="I183" s="79"/>
    </row>
    <row r="184" customFormat="false" ht="12.75" hidden="false" customHeight="true" outlineLevel="0" collapsed="false">
      <c r="A184" s="15"/>
      <c r="B184" s="111"/>
      <c r="C184" s="111"/>
      <c r="D184" s="44"/>
      <c r="E184" s="79"/>
      <c r="F184" s="79"/>
      <c r="G184" s="79"/>
      <c r="H184" s="79"/>
      <c r="I184" s="79"/>
    </row>
    <row r="185" customFormat="false" ht="12.75" hidden="false" customHeight="true" outlineLevel="0" collapsed="false">
      <c r="A185" s="15"/>
      <c r="B185" s="111"/>
      <c r="C185" s="111"/>
      <c r="D185" s="44"/>
      <c r="E185" s="79"/>
      <c r="F185" s="79"/>
      <c r="G185" s="79"/>
      <c r="H185" s="79"/>
      <c r="I185" s="79"/>
    </row>
    <row r="186" customFormat="false" ht="12.75" hidden="false" customHeight="true" outlineLevel="0" collapsed="false">
      <c r="A186" s="15"/>
      <c r="B186" s="111"/>
      <c r="C186" s="111"/>
      <c r="D186" s="44"/>
      <c r="E186" s="79"/>
      <c r="F186" s="79"/>
      <c r="G186" s="79"/>
      <c r="H186" s="79"/>
      <c r="I186" s="79"/>
    </row>
    <row r="187" customFormat="false" ht="12.75" hidden="false" customHeight="true" outlineLevel="0" collapsed="false">
      <c r="A187" s="15"/>
      <c r="B187" s="111"/>
      <c r="C187" s="111"/>
      <c r="D187" s="44"/>
      <c r="E187" s="79"/>
      <c r="F187" s="79"/>
      <c r="G187" s="79"/>
      <c r="H187" s="79"/>
      <c r="I187" s="79"/>
    </row>
    <row r="188" customFormat="false" ht="12.75" hidden="false" customHeight="true" outlineLevel="0" collapsed="false">
      <c r="A188" s="15"/>
      <c r="B188" s="111"/>
      <c r="C188" s="111"/>
      <c r="D188" s="44"/>
      <c r="E188" s="79"/>
      <c r="F188" s="79"/>
      <c r="G188" s="79"/>
      <c r="H188" s="79"/>
      <c r="I188" s="79"/>
    </row>
    <row r="189" customFormat="false" ht="12.75" hidden="false" customHeight="true" outlineLevel="0" collapsed="false">
      <c r="A189" s="15"/>
      <c r="B189" s="111"/>
      <c r="C189" s="111"/>
      <c r="D189" s="44"/>
      <c r="E189" s="79"/>
      <c r="F189" s="79"/>
      <c r="G189" s="79"/>
      <c r="H189" s="79"/>
      <c r="I189" s="79"/>
    </row>
    <row r="190" customFormat="false" ht="12.75" hidden="false" customHeight="true" outlineLevel="0" collapsed="false">
      <c r="A190" s="15"/>
      <c r="B190" s="111"/>
      <c r="C190" s="111"/>
      <c r="D190" s="44"/>
      <c r="E190" s="79"/>
      <c r="F190" s="79"/>
      <c r="G190" s="79"/>
      <c r="H190" s="79"/>
      <c r="I190" s="79"/>
    </row>
    <row r="191" customFormat="false" ht="12.75" hidden="true" customHeight="true" outlineLevel="0" collapsed="false">
      <c r="A191" s="15"/>
      <c r="B191" s="111"/>
      <c r="C191" s="111"/>
      <c r="D191" s="44"/>
      <c r="E191" s="79"/>
      <c r="F191" s="79"/>
      <c r="G191" s="79"/>
      <c r="H191" s="79"/>
      <c r="I191" s="79"/>
    </row>
    <row r="192" customFormat="false" ht="30.75" hidden="true" customHeight="true" outlineLevel="0" collapsed="false">
      <c r="A192" s="15"/>
      <c r="B192" s="111"/>
      <c r="C192" s="111"/>
      <c r="G192" s="183" t="s">
        <v>76</v>
      </c>
      <c r="H192" s="79"/>
      <c r="I192" s="184" t="s">
        <v>77</v>
      </c>
      <c r="J192" s="79"/>
      <c r="K192" s="79"/>
    </row>
    <row r="193" customFormat="false" ht="12.75" hidden="true" customHeight="true" outlineLevel="0" collapsed="false">
      <c r="A193" s="15"/>
      <c r="B193" s="111"/>
      <c r="C193" s="111"/>
      <c r="G193" s="44" t="n">
        <f aca="false">IF((D14)&lt;1,0,D14-1)</f>
        <v>0</v>
      </c>
      <c r="H193" s="79"/>
      <c r="I193" s="79" t="n">
        <f aca="false">IF(D58&lt;0.35,0,D58-0.35)</f>
        <v>0</v>
      </c>
      <c r="J193" s="79"/>
      <c r="K193" s="79"/>
    </row>
    <row r="194" customFormat="false" ht="12.75" hidden="true" customHeight="true" outlineLevel="0" collapsed="false">
      <c r="A194" s="185" t="s">
        <v>78</v>
      </c>
      <c r="B194" s="111"/>
      <c r="C194" s="111" t="s">
        <v>69</v>
      </c>
      <c r="G194" s="44"/>
      <c r="H194" s="79"/>
      <c r="I194" s="79"/>
      <c r="J194" s="79"/>
      <c r="K194" s="79"/>
    </row>
    <row r="195" customFormat="false" ht="64.5" hidden="true" customHeight="true" outlineLevel="0" collapsed="false">
      <c r="A195" s="15"/>
      <c r="B195" s="111" t="s">
        <v>79</v>
      </c>
      <c r="C195" s="1" t="s">
        <v>80</v>
      </c>
      <c r="D195" s="79" t="s">
        <v>81</v>
      </c>
      <c r="E195" s="90" t="s">
        <v>82</v>
      </c>
      <c r="F195" s="90" t="s">
        <v>83</v>
      </c>
      <c r="G195" s="183" t="s">
        <v>84</v>
      </c>
      <c r="H195" s="184" t="s">
        <v>85</v>
      </c>
      <c r="I195" s="184" t="s">
        <v>86</v>
      </c>
      <c r="J195" s="79" t="s">
        <v>87</v>
      </c>
      <c r="K195" s="79" t="s">
        <v>88</v>
      </c>
      <c r="L195" s="0" t="s">
        <v>89</v>
      </c>
      <c r="M195" s="90" t="s">
        <v>90</v>
      </c>
    </row>
    <row r="196" customFormat="false" ht="12.75" hidden="true" customHeight="true" outlineLevel="0" collapsed="false">
      <c r="A196" s="15"/>
      <c r="B196" s="111" t="s">
        <v>91</v>
      </c>
      <c r="C196" s="1" t="n">
        <v>90</v>
      </c>
      <c r="D196" s="79"/>
      <c r="E196" s="0" t="n">
        <v>1</v>
      </c>
      <c r="F196" s="0" t="s">
        <v>92</v>
      </c>
      <c r="G196" s="44" t="n">
        <f aca="false">4.5+1.7*G193</f>
        <v>4.5</v>
      </c>
      <c r="H196" s="79" t="n">
        <f aca="false">IF(D16&gt;=130,(0.025+0.02*G193)*(D16-130),0)</f>
        <v>0.25</v>
      </c>
      <c r="I196" s="79" t="n">
        <v>0</v>
      </c>
      <c r="J196" s="79" t="n">
        <f aca="false">I196+H196+G196</f>
        <v>4.75</v>
      </c>
      <c r="K196" s="79" t="n">
        <v>0.3</v>
      </c>
      <c r="L196" s="186" t="b">
        <f aca="false">IF(D16&lt;=130,TRUE(),FALSE())</f>
        <v>0</v>
      </c>
      <c r="M196" s="0" t="n">
        <v>20</v>
      </c>
    </row>
    <row r="197" customFormat="false" ht="12.75" hidden="true" customHeight="true" outlineLevel="0" collapsed="false">
      <c r="A197" s="15"/>
      <c r="B197" s="111" t="s">
        <v>93</v>
      </c>
      <c r="C197" s="1" t="n">
        <v>95</v>
      </c>
      <c r="D197" s="79"/>
      <c r="E197" s="0" t="n">
        <v>1</v>
      </c>
      <c r="F197" s="0" t="s">
        <v>92</v>
      </c>
      <c r="G197" s="44" t="n">
        <f aca="false">G196</f>
        <v>4.5</v>
      </c>
      <c r="H197" s="79" t="n">
        <f aca="false">H196</f>
        <v>0.25</v>
      </c>
      <c r="I197" s="79" t="n">
        <v>0</v>
      </c>
      <c r="J197" s="79" t="n">
        <f aca="false">I197+H197+G197</f>
        <v>4.75</v>
      </c>
      <c r="K197" s="79" t="n">
        <v>0.3</v>
      </c>
      <c r="L197" s="186" t="b">
        <f aca="false">IF(AND(D16&gt;90,D16&lt;=130),FALSE(),TRUE())</f>
        <v>1</v>
      </c>
      <c r="M197" s="0" t="n">
        <v>20</v>
      </c>
    </row>
    <row r="198" customFormat="false" ht="12.75" hidden="true" customHeight="true" outlineLevel="0" collapsed="false">
      <c r="A198" s="15"/>
      <c r="B198" s="111" t="s">
        <v>94</v>
      </c>
      <c r="C198" s="1" t="n">
        <v>100</v>
      </c>
      <c r="D198" s="79"/>
      <c r="E198" s="0" t="n">
        <v>1</v>
      </c>
      <c r="F198" s="0" t="s">
        <v>92</v>
      </c>
      <c r="G198" s="44" t="n">
        <f aca="false">G197</f>
        <v>4.5</v>
      </c>
      <c r="H198" s="79" t="n">
        <f aca="false">H196</f>
        <v>0.25</v>
      </c>
      <c r="I198" s="79" t="n">
        <v>0</v>
      </c>
      <c r="J198" s="79" t="n">
        <f aca="false">I198+H198+G198</f>
        <v>4.75</v>
      </c>
      <c r="K198" s="79" t="n">
        <v>0.3</v>
      </c>
      <c r="L198" s="186" t="b">
        <f aca="false">IF(AND(D16&gt;=50,D16&lt;=90),FALSE(),TRUE())</f>
        <v>1</v>
      </c>
      <c r="M198" s="0" t="n">
        <v>20</v>
      </c>
    </row>
    <row r="199" customFormat="false" ht="12.75" hidden="true" customHeight="true" outlineLevel="0" collapsed="false">
      <c r="A199" s="15"/>
      <c r="B199" s="111" t="s">
        <v>95</v>
      </c>
      <c r="C199" s="1" t="n">
        <v>75</v>
      </c>
      <c r="D199" s="79"/>
      <c r="E199" s="0" t="n">
        <v>1</v>
      </c>
      <c r="F199" s="0" t="s">
        <v>92</v>
      </c>
      <c r="G199" s="44" t="n">
        <f aca="false">G196</f>
        <v>4.5</v>
      </c>
      <c r="H199" s="79" t="n">
        <f aca="false">H196</f>
        <v>0.25</v>
      </c>
      <c r="I199" s="79" t="n">
        <v>0</v>
      </c>
      <c r="J199" s="79" t="n">
        <f aca="false">I199+H199+G199</f>
        <v>4.75</v>
      </c>
      <c r="K199" s="79" t="n">
        <v>0.4</v>
      </c>
      <c r="L199" s="186" t="b">
        <f aca="false">FALSE()</f>
        <v>0</v>
      </c>
      <c r="M199" s="0" t="n">
        <v>25</v>
      </c>
    </row>
    <row r="200" customFormat="false" ht="12.75" hidden="true" customHeight="true" outlineLevel="0" collapsed="false">
      <c r="A200" s="15"/>
      <c r="B200" s="111" t="s">
        <v>96</v>
      </c>
      <c r="C200" s="1" t="n">
        <v>75</v>
      </c>
      <c r="D200" s="79" t="n">
        <f aca="false">IF(I193&gt;0.6,0.6*40,I193*40)</f>
        <v>0</v>
      </c>
      <c r="E200" s="0" t="n">
        <v>0.95</v>
      </c>
      <c r="F200" s="0" t="str">
        <f aca="false">IF(D58&gt;0.6,"BBR: Tolkningsfråga om man får ha max 0,6 eller 0,95 l/s/m2","")</f>
        <v/>
      </c>
      <c r="G200" s="44" t="n">
        <f aca="false">G196</f>
        <v>4.5</v>
      </c>
      <c r="H200" s="79" t="n">
        <f aca="false">H199</f>
        <v>0.25</v>
      </c>
      <c r="I200" s="79" t="n">
        <f aca="false">(0.022+0.02*G193)*I193*D16</f>
        <v>0</v>
      </c>
      <c r="J200" s="79" t="n">
        <f aca="false">I200+H200+G200</f>
        <v>4.75</v>
      </c>
      <c r="K200" s="79" t="n">
        <v>0.4</v>
      </c>
      <c r="L200" s="186" t="b">
        <f aca="false">FALSE()</f>
        <v>0</v>
      </c>
      <c r="M200" s="0" t="n">
        <v>25</v>
      </c>
    </row>
    <row r="201" customFormat="false" ht="12.75" hidden="true" customHeight="true" outlineLevel="0" collapsed="false">
      <c r="A201" s="15"/>
      <c r="B201" s="111" t="s">
        <v>97</v>
      </c>
      <c r="C201" s="1" t="n">
        <v>70</v>
      </c>
      <c r="D201" s="79" t="n">
        <f aca="false">IF(I193&gt;1,40,I193*40)</f>
        <v>0</v>
      </c>
      <c r="E201" s="0" t="n">
        <v>1.35</v>
      </c>
      <c r="F201" s="0" t="str">
        <f aca="false">IF(D58&gt;1,"BBR: Tolkningsfråga om man får ha max  1 eller 1,35 l/s/m2","")</f>
        <v/>
      </c>
      <c r="G201" s="44" t="n">
        <f aca="false">G196</f>
        <v>4.5</v>
      </c>
      <c r="H201" s="79" t="n">
        <f aca="false">H200</f>
        <v>0.25</v>
      </c>
      <c r="I201" s="79" t="n">
        <f aca="false">(0.022+0.02*G193)*I193*D16</f>
        <v>0</v>
      </c>
      <c r="J201" s="79" t="n">
        <f aca="false">I201+H201+G201</f>
        <v>4.75</v>
      </c>
      <c r="K201" s="79" t="n">
        <v>0.5</v>
      </c>
      <c r="L201" s="186" t="b">
        <f aca="false">FALSE()</f>
        <v>0</v>
      </c>
      <c r="M201" s="0" t="n">
        <v>2</v>
      </c>
    </row>
    <row r="202" customFormat="false" ht="12.75" hidden="true" customHeight="true" outlineLevel="0" collapsed="false">
      <c r="A202" s="15" t="s">
        <v>98</v>
      </c>
      <c r="B202" s="0" t="str">
        <f aca="false">D7</f>
        <v>Småhus &gt;130 m2</v>
      </c>
      <c r="C202" s="79" t="n">
        <f aca="false">VLOOKUP($B202,Hustyp9_2,2,FALSE())</f>
        <v>90</v>
      </c>
      <c r="D202" s="79" t="n">
        <f aca="false">VLOOKUP($B202,Hustyp9_2,3,FALSE())</f>
        <v>0</v>
      </c>
      <c r="E202" s="79" t="n">
        <f aca="false">VLOOKUP($B202,Hustyp9_2,4,FALSE())</f>
        <v>1</v>
      </c>
      <c r="F202" s="79" t="str">
        <f aca="false">VLOOKUP($B202,Hustyp9_2,5,FALSE())</f>
        <v>Betydelselös</v>
      </c>
      <c r="G202" s="44" t="n">
        <f aca="false">VLOOKUP($B202,Hustyp9_2,6,FALSE())</f>
        <v>4.5</v>
      </c>
      <c r="H202" s="79" t="n">
        <f aca="false">VLOOKUP($B202,Hustyp9_2,7,FALSE())</f>
        <v>0.25</v>
      </c>
      <c r="I202" s="79" t="n">
        <f aca="false">VLOOKUP($B202,Hustyp9_2,8,FALSE())</f>
        <v>0</v>
      </c>
      <c r="J202" s="187" t="n">
        <f aca="false">VLOOKUP($B202,Hustyp9_2,9,FALSE())</f>
        <v>4.75</v>
      </c>
      <c r="K202" s="79" t="n">
        <f aca="false">VLOOKUP($B202,Hustyp9_2,10,FALSE())</f>
        <v>0.3</v>
      </c>
      <c r="L202" s="0" t="n">
        <f aca="false">VLOOKUP($B202,Hustyp9_2,11,FALSE())</f>
        <v>0</v>
      </c>
      <c r="M202" s="0" t="n">
        <f aca="false">VLOOKUP($B202,Hustyp9_2,12,FALSE())</f>
        <v>20</v>
      </c>
    </row>
    <row r="203" customFormat="false" ht="21" hidden="true" customHeight="true" outlineLevel="0" collapsed="false">
      <c r="A203" s="15"/>
      <c r="B203" s="111" t="s">
        <v>99</v>
      </c>
      <c r="C203" s="1" t="n">
        <f aca="false">C202+D202</f>
        <v>90</v>
      </c>
      <c r="D203" s="44"/>
      <c r="E203" s="79"/>
      <c r="F203" s="188"/>
      <c r="G203" s="79"/>
      <c r="H203" s="79"/>
      <c r="I203" s="79"/>
    </row>
    <row r="204" customFormat="false" ht="35.25" hidden="true" customHeight="true" outlineLevel="0" collapsed="false">
      <c r="B204" s="189"/>
      <c r="C204" s="189"/>
      <c r="D204" s="190"/>
      <c r="E204" s="191"/>
      <c r="F204" s="189"/>
      <c r="G204" s="190"/>
      <c r="H204" s="191"/>
      <c r="I204" s="189"/>
      <c r="J204" s="190"/>
      <c r="K204" s="191"/>
      <c r="L204" s="192"/>
    </row>
    <row r="205" customFormat="false" ht="12" hidden="true" customHeight="true" outlineLevel="0" collapsed="false">
      <c r="D205" s="193"/>
      <c r="G205" s="79"/>
      <c r="H205" s="79"/>
      <c r="I205" s="79"/>
      <c r="J205" s="111"/>
      <c r="L205" s="192"/>
    </row>
    <row r="206" customFormat="false" ht="12" hidden="true" customHeight="true" outlineLevel="0" collapsed="false">
      <c r="D206" s="193"/>
      <c r="G206" s="79"/>
      <c r="H206" s="79"/>
      <c r="I206" s="79"/>
      <c r="J206" s="111"/>
      <c r="L206" s="192"/>
      <c r="Q206" s="79"/>
      <c r="R206" s="111"/>
    </row>
    <row r="207" customFormat="false" ht="56.25" hidden="true" customHeight="true" outlineLevel="0" collapsed="false">
      <c r="C207" s="184" t="s">
        <v>100</v>
      </c>
      <c r="D207" s="79" t="s">
        <v>101</v>
      </c>
      <c r="E207" s="90" t="s">
        <v>102</v>
      </c>
      <c r="F207" s="90" t="s">
        <v>103</v>
      </c>
      <c r="G207" s="184" t="s">
        <v>104</v>
      </c>
      <c r="H207" s="184" t="s">
        <v>105</v>
      </c>
      <c r="I207" s="90" t="n">
        <v>-35</v>
      </c>
      <c r="J207" s="90" t="n">
        <v>-28</v>
      </c>
      <c r="K207" s="90" t="n">
        <v>-25</v>
      </c>
      <c r="L207" s="90" t="n">
        <v>-20</v>
      </c>
      <c r="M207" s="90" t="n">
        <v>-15</v>
      </c>
      <c r="N207" s="90" t="n">
        <v>-6</v>
      </c>
      <c r="Q207" s="184" t="s">
        <v>106</v>
      </c>
      <c r="R207" s="90" t="s">
        <v>107</v>
      </c>
      <c r="S207" s="194" t="s">
        <v>108</v>
      </c>
      <c r="T207" s="0" t="s">
        <v>109</v>
      </c>
      <c r="W207" s="90" t="n">
        <v>-6</v>
      </c>
    </row>
    <row r="208" customFormat="false" ht="12.75" hidden="true" customHeight="true" outlineLevel="0" collapsed="false">
      <c r="B208" s="189" t="s">
        <v>110</v>
      </c>
      <c r="C208" s="0" t="n">
        <v>1.8</v>
      </c>
      <c r="D208" s="195" t="b">
        <f aca="false">TRUE()</f>
        <v>1</v>
      </c>
      <c r="E208" s="196" t="n">
        <v>1</v>
      </c>
      <c r="F208" s="197" t="n">
        <v>1</v>
      </c>
      <c r="G208" s="196" t="n">
        <v>1</v>
      </c>
      <c r="H208" s="197" t="n">
        <v>1</v>
      </c>
      <c r="I208" s="90" t="n">
        <v>1</v>
      </c>
      <c r="J208" s="0" t="n">
        <v>1</v>
      </c>
      <c r="K208" s="0" t="n">
        <v>1</v>
      </c>
      <c r="L208" s="0" t="n">
        <v>1</v>
      </c>
      <c r="M208" s="0" t="n">
        <v>1</v>
      </c>
      <c r="N208" s="0" t="n">
        <v>1</v>
      </c>
      <c r="P208" s="198" t="s">
        <v>111</v>
      </c>
      <c r="Q208" s="79" t="n">
        <f aca="false">E208</f>
        <v>1</v>
      </c>
      <c r="R208" s="79" t="n">
        <f aca="false">F208</f>
        <v>1</v>
      </c>
      <c r="S208" s="0" t="n">
        <v>1</v>
      </c>
      <c r="T208" s="0" t="n">
        <v>1</v>
      </c>
      <c r="V208" s="192"/>
      <c r="W208" s="0" t="n">
        <v>1</v>
      </c>
    </row>
    <row r="209" customFormat="false" ht="12.75" hidden="true" customHeight="true" outlineLevel="0" collapsed="false">
      <c r="B209" s="199" t="s">
        <v>112</v>
      </c>
      <c r="C209" s="0" t="n">
        <v>0.7</v>
      </c>
      <c r="D209" s="195" t="b">
        <f aca="false">FALSE()</f>
        <v>0</v>
      </c>
      <c r="E209" s="200" t="n">
        <v>1</v>
      </c>
      <c r="F209" s="201" t="n">
        <v>1</v>
      </c>
      <c r="G209" s="200" t="n">
        <v>1</v>
      </c>
      <c r="H209" s="201" t="n">
        <v>1</v>
      </c>
      <c r="I209" s="90" t="n">
        <v>1</v>
      </c>
      <c r="J209" s="0" t="n">
        <v>1</v>
      </c>
      <c r="K209" s="0" t="n">
        <v>1</v>
      </c>
      <c r="L209" s="0" t="n">
        <v>1</v>
      </c>
      <c r="M209" s="0" t="n">
        <v>1</v>
      </c>
      <c r="N209" s="0" t="n">
        <v>1</v>
      </c>
      <c r="P209" s="198" t="s">
        <v>111</v>
      </c>
      <c r="Q209" s="79" t="n">
        <f aca="false">E209</f>
        <v>1</v>
      </c>
      <c r="R209" s="79" t="n">
        <f aca="false">F209</f>
        <v>1</v>
      </c>
      <c r="S209" s="0" t="n">
        <v>1</v>
      </c>
      <c r="T209" s="0" t="n">
        <v>0</v>
      </c>
      <c r="V209" s="192"/>
      <c r="W209" s="0" t="n">
        <v>1</v>
      </c>
    </row>
    <row r="210" customFormat="false" ht="12.75" hidden="true" customHeight="true" outlineLevel="0" collapsed="false">
      <c r="B210" s="199" t="s">
        <v>113</v>
      </c>
      <c r="C210" s="0" t="n">
        <v>1.8</v>
      </c>
      <c r="D210" s="195" t="b">
        <f aca="false">TRUE()</f>
        <v>1</v>
      </c>
      <c r="E210" s="200" t="n">
        <v>1.7</v>
      </c>
      <c r="F210" s="201" t="n">
        <v>1.7</v>
      </c>
      <c r="G210" s="200" t="n">
        <v>1.7</v>
      </c>
      <c r="H210" s="201" t="n">
        <v>1.7</v>
      </c>
      <c r="I210" s="90" t="n">
        <v>1.7</v>
      </c>
      <c r="J210" s="90" t="n">
        <v>1.7</v>
      </c>
      <c r="K210" s="90" t="n">
        <v>1.7</v>
      </c>
      <c r="L210" s="90" t="n">
        <v>1.7</v>
      </c>
      <c r="M210" s="90" t="n">
        <v>1.7</v>
      </c>
      <c r="N210" s="90" t="n">
        <v>1.7</v>
      </c>
      <c r="P210" s="189" t="s">
        <v>114</v>
      </c>
      <c r="Q210" s="79" t="n">
        <f aca="false">E210</f>
        <v>1.7</v>
      </c>
      <c r="R210" s="79" t="n">
        <f aca="false">F210</f>
        <v>1.7</v>
      </c>
      <c r="S210" s="0" t="n">
        <v>1</v>
      </c>
      <c r="T210" s="0" t="n">
        <v>0</v>
      </c>
      <c r="V210" s="192"/>
      <c r="W210" s="90" t="n">
        <v>1.7</v>
      </c>
    </row>
    <row r="211" customFormat="false" ht="12.75" hidden="true" customHeight="true" outlineLevel="0" collapsed="false">
      <c r="B211" s="199" t="s">
        <v>23</v>
      </c>
      <c r="C211" s="0" t="n">
        <v>1.8</v>
      </c>
      <c r="D211" s="195" t="b">
        <f aca="false">TRUE()</f>
        <v>1</v>
      </c>
      <c r="E211" s="200" t="n">
        <v>2.5</v>
      </c>
      <c r="F211" s="201" t="n">
        <v>2.5</v>
      </c>
      <c r="G211" s="200" t="n">
        <v>2.5</v>
      </c>
      <c r="H211" s="201" t="n">
        <v>2.5</v>
      </c>
      <c r="I211" s="90" t="n">
        <v>2.3</v>
      </c>
      <c r="J211" s="90" t="n">
        <v>2.4</v>
      </c>
      <c r="K211" s="90" t="n">
        <v>2.4</v>
      </c>
      <c r="L211" s="90" t="n">
        <v>2.45</v>
      </c>
      <c r="M211" s="90" t="n">
        <v>2.48</v>
      </c>
      <c r="N211" s="90" t="n">
        <v>2.5</v>
      </c>
      <c r="P211" s="189" t="s">
        <v>115</v>
      </c>
      <c r="Q211" s="79" t="n">
        <f aca="false">E211</f>
        <v>2.5</v>
      </c>
      <c r="R211" s="79" t="n">
        <f aca="false">F211</f>
        <v>2.5</v>
      </c>
      <c r="S211" s="0" t="n">
        <v>1</v>
      </c>
      <c r="T211" s="0" t="n">
        <v>0</v>
      </c>
      <c r="V211" s="192"/>
      <c r="W211" s="90" t="n">
        <v>2.5</v>
      </c>
    </row>
    <row r="212" customFormat="false" ht="12.75" hidden="true" customHeight="true" outlineLevel="0" collapsed="false">
      <c r="B212" s="199" t="s">
        <v>116</v>
      </c>
      <c r="C212" s="0" t="n">
        <v>1.8</v>
      </c>
      <c r="D212" s="195" t="b">
        <f aca="false">TRUE()</f>
        <v>1</v>
      </c>
      <c r="E212" s="200" t="n">
        <v>2</v>
      </c>
      <c r="F212" s="201" t="n">
        <v>2</v>
      </c>
      <c r="G212" s="200" t="n">
        <v>2</v>
      </c>
      <c r="H212" s="201" t="n">
        <v>2</v>
      </c>
      <c r="I212" s="90" t="n">
        <v>1</v>
      </c>
      <c r="J212" s="90" t="n">
        <v>1.1</v>
      </c>
      <c r="K212" s="90" t="n">
        <v>1.4</v>
      </c>
      <c r="L212" s="90" t="n">
        <v>1.6</v>
      </c>
      <c r="M212" s="90" t="n">
        <v>1.8</v>
      </c>
      <c r="N212" s="90" t="n">
        <v>2</v>
      </c>
      <c r="P212" s="189" t="s">
        <v>117</v>
      </c>
      <c r="Q212" s="79" t="n">
        <f aca="false">E212</f>
        <v>2</v>
      </c>
      <c r="R212" s="79" t="n">
        <f aca="false">F212</f>
        <v>2</v>
      </c>
      <c r="S212" s="0" t="n">
        <v>1</v>
      </c>
      <c r="T212" s="0" t="n">
        <v>0</v>
      </c>
      <c r="V212" s="192"/>
      <c r="W212" s="90" t="n">
        <v>3.9</v>
      </c>
    </row>
    <row r="213" customFormat="false" ht="12.75" hidden="true" customHeight="true" outlineLevel="0" collapsed="false">
      <c r="B213" s="199" t="s">
        <v>118</v>
      </c>
      <c r="C213" s="0" t="n">
        <v>1.8</v>
      </c>
      <c r="D213" s="195" t="b">
        <f aca="false">FALSE()</f>
        <v>0</v>
      </c>
      <c r="E213" s="200" t="n">
        <v>0.85</v>
      </c>
      <c r="F213" s="201" t="n">
        <v>0.85</v>
      </c>
      <c r="G213" s="200" t="n">
        <v>0.85</v>
      </c>
      <c r="H213" s="201" t="n">
        <v>0.85</v>
      </c>
      <c r="I213" s="90" t="n">
        <v>0.85</v>
      </c>
      <c r="J213" s="90" t="n">
        <v>0.85</v>
      </c>
      <c r="K213" s="90" t="n">
        <v>0.85</v>
      </c>
      <c r="L213" s="90" t="n">
        <v>0.85</v>
      </c>
      <c r="M213" s="90" t="n">
        <v>0.85</v>
      </c>
      <c r="N213" s="90" t="n">
        <v>0.85</v>
      </c>
      <c r="P213" s="189" t="s">
        <v>119</v>
      </c>
      <c r="Q213" s="79" t="n">
        <f aca="false">E213</f>
        <v>0.85</v>
      </c>
      <c r="R213" s="79" t="n">
        <f aca="false">F213</f>
        <v>0.85</v>
      </c>
      <c r="S213" s="0" t="n">
        <v>1</v>
      </c>
      <c r="T213" s="0" t="n">
        <v>0</v>
      </c>
      <c r="V213" s="192"/>
      <c r="W213" s="90" t="n">
        <v>0.85</v>
      </c>
    </row>
    <row r="214" customFormat="false" ht="12.75" hidden="true" customHeight="true" outlineLevel="0" collapsed="false">
      <c r="B214" s="199" t="s">
        <v>120</v>
      </c>
      <c r="C214" s="0" t="n">
        <v>0.6</v>
      </c>
      <c r="D214" s="195" t="b">
        <f aca="false">FALSE()</f>
        <v>0</v>
      </c>
      <c r="E214" s="200" t="n">
        <v>0.75</v>
      </c>
      <c r="F214" s="201" t="n">
        <v>0.75</v>
      </c>
      <c r="G214" s="200" t="n">
        <v>0.75</v>
      </c>
      <c r="H214" s="201" t="n">
        <v>0.75</v>
      </c>
      <c r="I214" s="90" t="n">
        <v>0.75</v>
      </c>
      <c r="J214" s="90" t="n">
        <v>0.75</v>
      </c>
      <c r="K214" s="90" t="n">
        <v>0.75</v>
      </c>
      <c r="L214" s="90" t="n">
        <v>0.75</v>
      </c>
      <c r="M214" s="90" t="n">
        <v>0.75</v>
      </c>
      <c r="N214" s="90" t="n">
        <v>0.75</v>
      </c>
      <c r="P214" s="189" t="s">
        <v>121</v>
      </c>
      <c r="Q214" s="79" t="n">
        <f aca="false">E214</f>
        <v>0.75</v>
      </c>
      <c r="R214" s="79" t="n">
        <f aca="false">F214</f>
        <v>0.75</v>
      </c>
      <c r="S214" s="0" t="n">
        <v>1</v>
      </c>
      <c r="T214" s="0" t="n">
        <v>0</v>
      </c>
      <c r="V214" s="192"/>
      <c r="W214" s="90" t="n">
        <v>0.75</v>
      </c>
    </row>
    <row r="215" customFormat="false" ht="12.75" hidden="true" customHeight="true" outlineLevel="0" collapsed="false">
      <c r="B215" s="199" t="s">
        <v>122</v>
      </c>
      <c r="C215" s="0" t="n">
        <v>1.8</v>
      </c>
      <c r="D215" s="195" t="b">
        <f aca="false">FALSE()</f>
        <v>0</v>
      </c>
      <c r="E215" s="200" t="n">
        <v>0.9</v>
      </c>
      <c r="F215" s="201" t="n">
        <v>0.9</v>
      </c>
      <c r="G215" s="200" t="n">
        <v>0.9</v>
      </c>
      <c r="H215" s="201" t="n">
        <v>0.9</v>
      </c>
      <c r="I215" s="90" t="n">
        <v>0.9</v>
      </c>
      <c r="J215" s="90" t="n">
        <v>0.9</v>
      </c>
      <c r="K215" s="90" t="n">
        <v>0.9</v>
      </c>
      <c r="L215" s="90" t="n">
        <v>0.9</v>
      </c>
      <c r="M215" s="90" t="n">
        <v>0.9</v>
      </c>
      <c r="N215" s="90" t="n">
        <v>0.9</v>
      </c>
      <c r="P215" s="189" t="s">
        <v>123</v>
      </c>
      <c r="Q215" s="79" t="n">
        <f aca="false">E215</f>
        <v>0.9</v>
      </c>
      <c r="R215" s="79" t="n">
        <f aca="false">F215</f>
        <v>0.9</v>
      </c>
      <c r="S215" s="0" t="n">
        <v>1</v>
      </c>
      <c r="T215" s="0" t="n">
        <v>0</v>
      </c>
      <c r="V215" s="192"/>
      <c r="W215" s="90" t="n">
        <v>0.9</v>
      </c>
    </row>
    <row r="216" customFormat="false" ht="12.75" hidden="true" customHeight="true" outlineLevel="0" collapsed="false">
      <c r="B216" s="202" t="s">
        <v>124</v>
      </c>
      <c r="C216" s="0" t="n">
        <v>1.8</v>
      </c>
      <c r="D216" s="195" t="b">
        <f aca="false">TRUE()</f>
        <v>1</v>
      </c>
      <c r="E216" s="203" t="n">
        <v>1</v>
      </c>
      <c r="F216" s="201" t="n">
        <v>1</v>
      </c>
      <c r="G216" s="203" t="n">
        <v>1</v>
      </c>
      <c r="H216" s="201" t="n">
        <v>1</v>
      </c>
      <c r="I216" s="90" t="n">
        <v>1</v>
      </c>
      <c r="J216" s="0" t="n">
        <v>1</v>
      </c>
      <c r="K216" s="0" t="n">
        <v>1</v>
      </c>
      <c r="L216" s="0" t="n">
        <v>1</v>
      </c>
      <c r="M216" s="0" t="n">
        <v>1</v>
      </c>
      <c r="N216" s="0" t="n">
        <v>1</v>
      </c>
      <c r="P216" s="198" t="s">
        <v>111</v>
      </c>
      <c r="Q216" s="187" t="n">
        <f aca="false">$C$230</f>
        <v>2.5</v>
      </c>
      <c r="R216" s="204" t="n">
        <f aca="false">$E$230</f>
        <v>2.5</v>
      </c>
      <c r="S216" s="0" t="n">
        <v>1</v>
      </c>
      <c r="T216" s="0" t="n">
        <v>1</v>
      </c>
      <c r="V216" s="192"/>
      <c r="W216" s="0" t="n">
        <v>1</v>
      </c>
    </row>
    <row r="217" customFormat="false" ht="12.75" hidden="true" customHeight="true" outlineLevel="0" collapsed="false">
      <c r="B217" s="202" t="s">
        <v>125</v>
      </c>
      <c r="C217" s="0" t="n">
        <v>0.7</v>
      </c>
      <c r="D217" s="195" t="b">
        <f aca="false">FALSE()</f>
        <v>0</v>
      </c>
      <c r="E217" s="203" t="n">
        <v>1</v>
      </c>
      <c r="F217" s="201" t="n">
        <v>1</v>
      </c>
      <c r="G217" s="203" t="n">
        <v>1</v>
      </c>
      <c r="H217" s="201" t="n">
        <v>1</v>
      </c>
      <c r="I217" s="90" t="n">
        <v>1</v>
      </c>
      <c r="J217" s="0" t="n">
        <v>1</v>
      </c>
      <c r="K217" s="0" t="n">
        <v>1</v>
      </c>
      <c r="L217" s="0" t="n">
        <v>1</v>
      </c>
      <c r="M217" s="0" t="n">
        <v>1</v>
      </c>
      <c r="N217" s="0" t="n">
        <v>1</v>
      </c>
      <c r="P217" s="198" t="s">
        <v>111</v>
      </c>
      <c r="Q217" s="187" t="n">
        <f aca="false">$C$230</f>
        <v>2.5</v>
      </c>
      <c r="R217" s="204" t="n">
        <f aca="false">$E$230</f>
        <v>2.5</v>
      </c>
      <c r="S217" s="0" t="n">
        <v>1</v>
      </c>
      <c r="T217" s="0" t="n">
        <v>0</v>
      </c>
      <c r="V217" s="192"/>
      <c r="W217" s="0" t="n">
        <v>1</v>
      </c>
    </row>
    <row r="218" customFormat="false" ht="12.75" hidden="true" customHeight="true" outlineLevel="0" collapsed="false">
      <c r="B218" s="199" t="s">
        <v>126</v>
      </c>
      <c r="C218" s="0" t="n">
        <v>1.8</v>
      </c>
      <c r="D218" s="195" t="b">
        <f aca="false">TRUE()</f>
        <v>1</v>
      </c>
      <c r="E218" s="200" t="n">
        <v>1.56</v>
      </c>
      <c r="F218" s="201" t="n">
        <v>1.56</v>
      </c>
      <c r="G218" s="200" t="n">
        <v>1.56</v>
      </c>
      <c r="H218" s="201" t="n">
        <v>1.56</v>
      </c>
      <c r="I218" s="90" t="n">
        <v>1.56</v>
      </c>
      <c r="J218" s="90" t="n">
        <v>1.56</v>
      </c>
      <c r="K218" s="90" t="n">
        <v>1.56</v>
      </c>
      <c r="L218" s="90" t="n">
        <v>1.56</v>
      </c>
      <c r="M218" s="90" t="n">
        <v>1.56</v>
      </c>
      <c r="N218" s="90" t="n">
        <v>1.56</v>
      </c>
      <c r="P218" s="189" t="s">
        <v>127</v>
      </c>
      <c r="Q218" s="187" t="n">
        <f aca="false">$C$230</f>
        <v>2.5</v>
      </c>
      <c r="R218" s="204" t="n">
        <f aca="false">$E$230</f>
        <v>2.5</v>
      </c>
      <c r="S218" s="0" t="n">
        <v>1</v>
      </c>
      <c r="T218" s="0" t="n">
        <v>0</v>
      </c>
      <c r="V218" s="192"/>
      <c r="W218" s="90" t="n">
        <v>1.56</v>
      </c>
    </row>
    <row r="219" customFormat="false" ht="12" hidden="true" customHeight="true" outlineLevel="0" collapsed="false">
      <c r="B219" s="199" t="s">
        <v>128</v>
      </c>
      <c r="C219" s="0" t="n">
        <v>1.8</v>
      </c>
      <c r="D219" s="195" t="b">
        <f aca="false">TRUE()</f>
        <v>1</v>
      </c>
      <c r="E219" s="200" t="n">
        <v>2.5</v>
      </c>
      <c r="F219" s="201" t="n">
        <v>2.5</v>
      </c>
      <c r="G219" s="200" t="n">
        <v>2.5</v>
      </c>
      <c r="H219" s="201" t="n">
        <v>2.5</v>
      </c>
      <c r="I219" s="90" t="n">
        <v>2.5</v>
      </c>
      <c r="J219" s="90" t="n">
        <v>2.5</v>
      </c>
      <c r="K219" s="90" t="n">
        <v>2.5</v>
      </c>
      <c r="L219" s="90" t="n">
        <v>2.5</v>
      </c>
      <c r="M219" s="90" t="n">
        <v>2.5</v>
      </c>
      <c r="N219" s="90" t="n">
        <v>2.5</v>
      </c>
      <c r="P219" s="189" t="s">
        <v>129</v>
      </c>
      <c r="Q219" s="187" t="n">
        <f aca="false">$C$230</f>
        <v>2.5</v>
      </c>
      <c r="R219" s="204" t="n">
        <f aca="false">$E$230</f>
        <v>2.5</v>
      </c>
      <c r="S219" s="0" t="n">
        <v>1</v>
      </c>
      <c r="T219" s="0" t="n">
        <v>0</v>
      </c>
      <c r="V219" s="192"/>
      <c r="W219" s="90" t="n">
        <v>2.5</v>
      </c>
    </row>
    <row r="220" customFormat="false" ht="12.75" hidden="true" customHeight="true" outlineLevel="0" collapsed="false">
      <c r="B220" s="199" t="s">
        <v>130</v>
      </c>
      <c r="C220" s="0" t="n">
        <v>1.8</v>
      </c>
      <c r="D220" s="195" t="b">
        <f aca="false">TRUE()</f>
        <v>1</v>
      </c>
      <c r="E220" s="200" t="n">
        <v>2.9</v>
      </c>
      <c r="F220" s="201" t="n">
        <v>3.6</v>
      </c>
      <c r="G220" s="200" t="n">
        <v>2.9</v>
      </c>
      <c r="H220" s="201" t="n">
        <v>3.6</v>
      </c>
      <c r="I220" s="90" t="n">
        <v>2.7</v>
      </c>
      <c r="J220" s="90" t="n">
        <v>2.8</v>
      </c>
      <c r="K220" s="90" t="n">
        <v>3</v>
      </c>
      <c r="L220" s="90" t="n">
        <v>3.4</v>
      </c>
      <c r="M220" s="90" t="n">
        <v>3.45</v>
      </c>
      <c r="N220" s="90" t="n">
        <v>3.5</v>
      </c>
      <c r="P220" s="189" t="s">
        <v>131</v>
      </c>
      <c r="Q220" s="187" t="n">
        <f aca="false">$C$230</f>
        <v>2.5</v>
      </c>
      <c r="R220" s="204" t="n">
        <f aca="false">$E$230</f>
        <v>2.5</v>
      </c>
      <c r="S220" s="0" t="n">
        <v>1</v>
      </c>
      <c r="T220" s="0" t="n">
        <v>0</v>
      </c>
      <c r="V220" s="192"/>
      <c r="W220" s="90" t="n">
        <v>4</v>
      </c>
    </row>
    <row r="221" customFormat="false" ht="12.75" hidden="true" customHeight="true" outlineLevel="0" collapsed="false">
      <c r="B221" s="199" t="s">
        <v>132</v>
      </c>
      <c r="C221" s="0" t="n">
        <v>1.8</v>
      </c>
      <c r="D221" s="195" t="b">
        <f aca="false">TRUE()</f>
        <v>1</v>
      </c>
      <c r="E221" s="200" t="n">
        <v>1.7</v>
      </c>
      <c r="F221" s="201" t="n">
        <v>3.2</v>
      </c>
      <c r="G221" s="200" t="n">
        <f aca="false">1+0.7*1</f>
        <v>1.7</v>
      </c>
      <c r="H221" s="201" t="n">
        <v>3.2</v>
      </c>
      <c r="I221" s="90" t="n">
        <v>1</v>
      </c>
      <c r="J221" s="90" t="n">
        <v>1.1</v>
      </c>
      <c r="K221" s="90" t="n">
        <v>1.4</v>
      </c>
      <c r="L221" s="90" t="n">
        <v>1.6</v>
      </c>
      <c r="M221" s="90" t="n">
        <v>2.1</v>
      </c>
      <c r="N221" s="90" t="n">
        <v>3.5</v>
      </c>
      <c r="P221" s="189" t="s">
        <v>133</v>
      </c>
      <c r="Q221" s="187" t="n">
        <f aca="false">$C$230</f>
        <v>2.5</v>
      </c>
      <c r="R221" s="204" t="n">
        <f aca="false">$E$230</f>
        <v>2.5</v>
      </c>
      <c r="S221" s="0" t="n">
        <v>1</v>
      </c>
      <c r="T221" s="0" t="n">
        <v>0</v>
      </c>
      <c r="V221" s="192"/>
      <c r="W221" s="90" t="n">
        <v>3.9</v>
      </c>
    </row>
    <row r="222" customFormat="false" ht="12.75" hidden="true" customHeight="true" outlineLevel="0" collapsed="false">
      <c r="B222" s="199" t="s">
        <v>134</v>
      </c>
      <c r="C222" s="0" t="n">
        <v>1.8</v>
      </c>
      <c r="D222" s="195" t="b">
        <f aca="false">TRUE()</f>
        <v>1</v>
      </c>
      <c r="E222" s="200" t="n">
        <v>2</v>
      </c>
      <c r="F222" s="201" t="n">
        <v>3.2</v>
      </c>
      <c r="G222" s="200" t="n">
        <v>1</v>
      </c>
      <c r="H222" s="201" t="n">
        <v>1</v>
      </c>
      <c r="I222" s="90" t="n">
        <v>1</v>
      </c>
      <c r="J222" s="90" t="n">
        <v>1.1</v>
      </c>
      <c r="K222" s="90" t="n">
        <v>1.4</v>
      </c>
      <c r="L222" s="90" t="n">
        <v>1.6</v>
      </c>
      <c r="M222" s="90" t="n">
        <v>2.1</v>
      </c>
      <c r="N222" s="90" t="n">
        <v>3.5</v>
      </c>
      <c r="P222" s="189" t="s">
        <v>135</v>
      </c>
      <c r="Q222" s="187" t="n">
        <f aca="false">$C$230</f>
        <v>2.5</v>
      </c>
      <c r="R222" s="204" t="n">
        <f aca="false">$E$230</f>
        <v>2.5</v>
      </c>
      <c r="S222" s="0" t="n">
        <v>1</v>
      </c>
      <c r="T222" s="0" t="n">
        <v>1</v>
      </c>
      <c r="V222" s="192"/>
      <c r="W222" s="90" t="n">
        <v>3.9</v>
      </c>
    </row>
    <row r="223" customFormat="false" ht="12.75" hidden="true" customHeight="true" outlineLevel="0" collapsed="false">
      <c r="B223" s="199" t="s">
        <v>136</v>
      </c>
      <c r="C223" s="0" t="n">
        <v>0.6</v>
      </c>
      <c r="D223" s="195" t="b">
        <f aca="false">FALSE()</f>
        <v>0</v>
      </c>
      <c r="E223" s="200" t="n">
        <v>0.87</v>
      </c>
      <c r="F223" s="201" t="n">
        <v>0.87</v>
      </c>
      <c r="G223" s="200" t="n">
        <v>0.87</v>
      </c>
      <c r="H223" s="201" t="n">
        <v>0.87</v>
      </c>
      <c r="I223" s="90" t="n">
        <v>0.87</v>
      </c>
      <c r="J223" s="90" t="n">
        <v>0.87</v>
      </c>
      <c r="K223" s="90" t="n">
        <v>0.87</v>
      </c>
      <c r="L223" s="90" t="n">
        <v>0.87</v>
      </c>
      <c r="M223" s="90" t="n">
        <v>0.87</v>
      </c>
      <c r="N223" s="90" t="n">
        <v>0.87</v>
      </c>
      <c r="P223" s="189" t="s">
        <v>137</v>
      </c>
      <c r="Q223" s="187" t="n">
        <f aca="false">$C$230</f>
        <v>2.5</v>
      </c>
      <c r="R223" s="204" t="n">
        <f aca="false">$E$230</f>
        <v>2.5</v>
      </c>
      <c r="S223" s="0" t="n">
        <v>1</v>
      </c>
      <c r="T223" s="0" t="n">
        <v>0</v>
      </c>
      <c r="V223" s="192"/>
      <c r="W223" s="90" t="n">
        <v>0.87</v>
      </c>
    </row>
    <row r="224" customFormat="false" ht="12.75" hidden="true" customHeight="true" outlineLevel="0" collapsed="false">
      <c r="B224" s="199" t="s">
        <v>138</v>
      </c>
      <c r="C224" s="0" t="n">
        <v>1.8</v>
      </c>
      <c r="D224" s="195" t="b">
        <f aca="false">FALSE()</f>
        <v>0</v>
      </c>
      <c r="E224" s="200" t="n">
        <v>0.9</v>
      </c>
      <c r="F224" s="201" t="n">
        <v>0.9</v>
      </c>
      <c r="G224" s="200" t="n">
        <v>0.9</v>
      </c>
      <c r="H224" s="201" t="n">
        <v>0.9</v>
      </c>
      <c r="I224" s="90" t="n">
        <v>0.9</v>
      </c>
      <c r="J224" s="90" t="n">
        <v>0.9</v>
      </c>
      <c r="K224" s="90" t="n">
        <v>0.9</v>
      </c>
      <c r="L224" s="90" t="n">
        <v>0.9</v>
      </c>
      <c r="M224" s="90" t="n">
        <v>0.9</v>
      </c>
      <c r="N224" s="90" t="n">
        <v>0.9</v>
      </c>
      <c r="P224" s="189" t="s">
        <v>139</v>
      </c>
      <c r="Q224" s="187" t="n">
        <f aca="false">$C$230</f>
        <v>2.5</v>
      </c>
      <c r="R224" s="204" t="n">
        <f aca="false">$E$230</f>
        <v>2.5</v>
      </c>
      <c r="S224" s="0" t="n">
        <v>1</v>
      </c>
      <c r="T224" s="0" t="n">
        <v>0</v>
      </c>
      <c r="V224" s="192"/>
      <c r="W224" s="90"/>
    </row>
    <row r="225" customFormat="false" ht="12.75" hidden="true" customHeight="true" outlineLevel="0" collapsed="false">
      <c r="B225" s="202" t="s">
        <v>140</v>
      </c>
      <c r="C225" s="0" t="n">
        <v>1.8</v>
      </c>
      <c r="D225" s="195" t="b">
        <f aca="false">TRUE()</f>
        <v>1</v>
      </c>
      <c r="E225" s="203" t="n">
        <v>1</v>
      </c>
      <c r="F225" s="201" t="n">
        <v>1</v>
      </c>
      <c r="G225" s="203" t="n">
        <v>1</v>
      </c>
      <c r="H225" s="201" t="n">
        <v>1</v>
      </c>
      <c r="I225" s="90" t="n">
        <v>1</v>
      </c>
      <c r="J225" s="90" t="n">
        <v>1</v>
      </c>
      <c r="K225" s="90" t="n">
        <v>1</v>
      </c>
      <c r="L225" s="90" t="n">
        <v>1</v>
      </c>
      <c r="M225" s="90" t="n">
        <v>1</v>
      </c>
      <c r="N225" s="90" t="n">
        <v>1</v>
      </c>
      <c r="P225" s="198" t="s">
        <v>111</v>
      </c>
      <c r="Q225" s="187" t="n">
        <f aca="false">$C$230</f>
        <v>2.5</v>
      </c>
      <c r="R225" s="204" t="n">
        <f aca="false">$E$230</f>
        <v>2.5</v>
      </c>
      <c r="S225" s="0" t="n">
        <v>1</v>
      </c>
      <c r="T225" s="0" t="n">
        <v>0</v>
      </c>
      <c r="V225" s="192"/>
      <c r="W225" s="90" t="n">
        <v>1</v>
      </c>
    </row>
    <row r="226" customFormat="false" ht="12.75" hidden="true" customHeight="true" outlineLevel="0" collapsed="false">
      <c r="F226" s="193"/>
      <c r="G226" s="79"/>
      <c r="H226" s="79"/>
      <c r="I226" s="90"/>
      <c r="M226" s="79"/>
      <c r="Q226" s="187"/>
      <c r="R226" s="205"/>
      <c r="U226" s="79"/>
      <c r="V226" s="192"/>
      <c r="W226" s="79"/>
    </row>
    <row r="227" customFormat="false" ht="12.75" hidden="true" customHeight="true" outlineLevel="0" collapsed="false">
      <c r="A227" s="0" t="s">
        <v>141</v>
      </c>
      <c r="B227" s="0" t="str">
        <f aca="false">D23</f>
        <v>BEN / Jord/berg/sjö värmepump</v>
      </c>
      <c r="C227" s="0" t="n">
        <f aca="false">VLOOKUP($B227,Värmesystem,2,FALSE())</f>
        <v>1.8</v>
      </c>
      <c r="D227" s="0" t="n">
        <f aca="false">VLOOKUP($B227,Värmesystem,3,FALSE())</f>
        <v>1</v>
      </c>
      <c r="E227" s="0" t="n">
        <f aca="false">VLOOKUP($B227,Värmesystem,4,FALSE())</f>
        <v>2.5</v>
      </c>
      <c r="F227" s="193" t="n">
        <f aca="false">VLOOKUP($B227,Värmesystem,5,FALSE())</f>
        <v>2.5</v>
      </c>
      <c r="G227" s="79" t="n">
        <f aca="false">VLOOKUP($B227,Värmesystem,6,FALSE())</f>
        <v>2.5</v>
      </c>
      <c r="H227" s="79" t="n">
        <f aca="false">VLOOKUP($B227,Värmesystem,7,FALSE())</f>
        <v>2.5</v>
      </c>
      <c r="I227" s="79" t="n">
        <f aca="false">VLOOKUP($B227,Värmesystem,8,FALSE())</f>
        <v>2.3</v>
      </c>
      <c r="J227" s="79" t="n">
        <f aca="false">VLOOKUP($B227,Värmesystem,9,FALSE())</f>
        <v>2.4</v>
      </c>
      <c r="K227" s="79" t="n">
        <f aca="false">VLOOKUP($B227,Värmesystem,10,FALSE())</f>
        <v>2.4</v>
      </c>
      <c r="L227" s="79" t="n">
        <f aca="false">VLOOKUP($B227,Värmesystem,11,FALSE())</f>
        <v>2.45</v>
      </c>
      <c r="M227" s="79" t="n">
        <f aca="false">VLOOKUP($B227,Värmesystem,12,FALSE())</f>
        <v>2.48</v>
      </c>
      <c r="N227" s="79" t="n">
        <f aca="false">VLOOKUP($B227,Värmesystem,13,FALSE())</f>
        <v>2.5</v>
      </c>
      <c r="O227" s="79" t="n">
        <f aca="false">VLOOKUP($B227,Värmesystem,14,FALSE())</f>
        <v>0</v>
      </c>
      <c r="P227" s="79" t="str">
        <f aca="false">VLOOKUP($B227,Värmesystem,15,FALSE())</f>
        <v>Jord/Berg -värmepump besparing @BEN</v>
      </c>
      <c r="Q227" s="187" t="n">
        <f aca="false">VLOOKUP($B227,Värmesystem,16,FALSE())</f>
        <v>2.5</v>
      </c>
      <c r="R227" s="205" t="n">
        <f aca="false">VLOOKUP($B227,Värmesystem,17,FALSE())</f>
        <v>2.5</v>
      </c>
      <c r="S227" s="79" t="n">
        <f aca="false">VLOOKUP($B227,Värmesystem,18,FALSE())</f>
        <v>1</v>
      </c>
      <c r="T227" s="0" t="n">
        <f aca="false">VLOOKUP($B227,Värmesystem,19,FALSE())</f>
        <v>0</v>
      </c>
      <c r="U227" s="0" t="n">
        <f aca="false">VLOOKUP($B227,Värmesystem,19,FALSE())</f>
        <v>0</v>
      </c>
      <c r="V227" s="192"/>
    </row>
    <row r="228" customFormat="false" ht="12.75" hidden="true" customHeight="true" outlineLevel="0" collapsed="false">
      <c r="D228" s="193"/>
      <c r="E228" s="79"/>
      <c r="F228" s="79"/>
      <c r="H228" s="79"/>
      <c r="I228" s="79"/>
      <c r="J228" s="90"/>
      <c r="Q228" s="1" t="s">
        <v>142</v>
      </c>
      <c r="R228" s="1" t="s">
        <v>142</v>
      </c>
      <c r="W228" s="79"/>
    </row>
    <row r="229" customFormat="false" ht="46.5" hidden="true" customHeight="true" outlineLevel="0" collapsed="false">
      <c r="C229" s="90" t="s">
        <v>143</v>
      </c>
      <c r="E229" s="90" t="s">
        <v>144</v>
      </c>
      <c r="Q229" s="79"/>
    </row>
    <row r="230" customFormat="false" ht="16.5" hidden="true" customHeight="true" outlineLevel="0" collapsed="false">
      <c r="B230" s="0" t="s">
        <v>145</v>
      </c>
      <c r="C230" s="206" t="n">
        <f aca="false">-(F227-E227)*(-$I207+$G231)/($I207-$N207)+E227</f>
        <v>2.5</v>
      </c>
      <c r="D230" s="206"/>
      <c r="E230" s="206" t="n">
        <f aca="false">-(H227-G227)*(-$I207+$G231)/($I207-$N207)+G227</f>
        <v>2.5</v>
      </c>
      <c r="G230" s="79" t="s">
        <v>146</v>
      </c>
      <c r="H230" s="0" t="s">
        <v>147</v>
      </c>
      <c r="I230" s="186" t="b">
        <f aca="false">FALSE()</f>
        <v>0</v>
      </c>
      <c r="J230" s="186" t="b">
        <f aca="false">IF(I230,FALSE(),IF(($G231-J207&lt;0),TRUE(),FALSE()))</f>
        <v>0</v>
      </c>
      <c r="K230" s="186" t="b">
        <f aca="false">IF(J230,FALSE(),IF(($G231-K207&lt;0),TRUE(),FALSE()))</f>
        <v>0</v>
      </c>
      <c r="L230" s="186" t="b">
        <f aca="false">IF((K230+J230),FALSE(),IF(($G231-L207&lt;0),TRUE(),FALSE()))</f>
        <v>0</v>
      </c>
      <c r="M230" s="186" t="b">
        <f aca="false">IF(L230+K230+J230,FALSE(),IF(($G231-M207&lt;0),TRUE(),FALSE()))</f>
        <v>0</v>
      </c>
      <c r="N230" s="186" t="b">
        <f aca="false">IF(M230+L230+K230+J230,FALSE(),IF(($G231-W207&lt;0),TRUE(),FALSE()))</f>
        <v>1</v>
      </c>
    </row>
    <row r="231" customFormat="false" ht="25.5" hidden="true" customHeight="true" outlineLevel="0" collapsed="false">
      <c r="B231" s="207"/>
      <c r="C231" s="111"/>
      <c r="D231" s="44"/>
      <c r="E231" s="79"/>
      <c r="F231" s="79"/>
      <c r="G231" s="79" t="n">
        <f aca="false">D10</f>
        <v>-13.7</v>
      </c>
      <c r="H231" s="90" t="s">
        <v>148</v>
      </c>
      <c r="I231" s="90" t="n">
        <f aca="false">IF(I230,I227,0)</f>
        <v>0</v>
      </c>
      <c r="J231" s="90" t="n">
        <f aca="false">IF(J230,J227,0)</f>
        <v>0</v>
      </c>
      <c r="K231" s="90" t="n">
        <f aca="false">IF(K230,K227,0)</f>
        <v>0</v>
      </c>
      <c r="L231" s="90" t="n">
        <f aca="false">IF(L230,L227,0)</f>
        <v>0</v>
      </c>
      <c r="M231" s="90" t="n">
        <f aca="false">IF(M230,M227,0)</f>
        <v>0</v>
      </c>
      <c r="N231" s="90" t="n">
        <f aca="false">IF(N230,N227,0)</f>
        <v>2.5</v>
      </c>
      <c r="R231" s="208" t="n">
        <f aca="false">SUM(I231:N231)</f>
        <v>2.5</v>
      </c>
    </row>
    <row r="232" customFormat="false" ht="25.5" hidden="true" customHeight="true" outlineLevel="0" collapsed="false">
      <c r="B232" s="209"/>
      <c r="C232" s="111"/>
      <c r="D232" s="210"/>
      <c r="F232" s="79"/>
      <c r="G232" s="79"/>
      <c r="H232" s="184" t="s">
        <v>149</v>
      </c>
      <c r="I232" s="90" t="n">
        <f aca="false">IF(J230,I227,0)</f>
        <v>0</v>
      </c>
      <c r="J232" s="90" t="n">
        <f aca="false">IF(K230,J227,0)</f>
        <v>0</v>
      </c>
      <c r="K232" s="90" t="n">
        <f aca="false">IF(L230,K227,0)</f>
        <v>0</v>
      </c>
      <c r="L232" s="90" t="n">
        <f aca="false">IF(M230,L227,0)</f>
        <v>0</v>
      </c>
      <c r="M232" s="90" t="n">
        <f aca="false">IF(N230,M227,0)</f>
        <v>2.48</v>
      </c>
      <c r="N232" s="90" t="n">
        <f aca="false">IF(Q230,N227,0)</f>
        <v>0</v>
      </c>
      <c r="R232" s="208" t="n">
        <f aca="false">SUM(I232:N232)</f>
        <v>2.48</v>
      </c>
    </row>
    <row r="233" customFormat="false" ht="12.75" hidden="true" customHeight="true" outlineLevel="0" collapsed="false">
      <c r="D233" s="79"/>
      <c r="G233" s="79"/>
      <c r="H233" s="79" t="s">
        <v>150</v>
      </c>
      <c r="I233" s="90" t="n">
        <f aca="false">IF(I230,I207,0)</f>
        <v>0</v>
      </c>
      <c r="J233" s="90" t="n">
        <f aca="false">IF(J230,J207,0)</f>
        <v>0</v>
      </c>
      <c r="K233" s="90" t="n">
        <f aca="false">IF(K230,K207,0)</f>
        <v>0</v>
      </c>
      <c r="L233" s="90" t="n">
        <f aca="false">IF(L230,L207,0)</f>
        <v>0</v>
      </c>
      <c r="M233" s="90" t="n">
        <f aca="false">IF(M230,M207,0)</f>
        <v>0</v>
      </c>
      <c r="N233" s="90" t="n">
        <f aca="false">IF(N230,W207,0)</f>
        <v>-6</v>
      </c>
      <c r="R233" s="208" t="n">
        <f aca="false">SUM(I233:N233)</f>
        <v>-6</v>
      </c>
    </row>
    <row r="234" customFormat="false" ht="12.75" hidden="true" customHeight="true" outlineLevel="0" collapsed="false">
      <c r="B234" s="43" t="s">
        <v>151</v>
      </c>
      <c r="C234" s="79" t="s">
        <v>152</v>
      </c>
      <c r="D234" s="79" t="s">
        <v>98</v>
      </c>
      <c r="E234" s="192"/>
      <c r="F234" s="192"/>
      <c r="H234" s="0" t="s">
        <v>153</v>
      </c>
      <c r="I234" s="0" t="n">
        <f aca="false">IF(I230,H207-I207,0)</f>
        <v>0</v>
      </c>
      <c r="J234" s="0" t="n">
        <f aca="false">IF(J230,I207-J207,0)</f>
        <v>0</v>
      </c>
      <c r="K234" s="0" t="n">
        <f aca="false">IF(K230,J207-K207,0)</f>
        <v>0</v>
      </c>
      <c r="L234" s="0" t="n">
        <f aca="false">IF(L230,K207-L207,0)</f>
        <v>0</v>
      </c>
      <c r="M234" s="0" t="n">
        <f aca="false">IF(M230,L207-M207,0)</f>
        <v>0</v>
      </c>
      <c r="N234" s="0" t="n">
        <f aca="false">IF(N230,M207-W207,0)</f>
        <v>-9</v>
      </c>
      <c r="R234" s="208" t="n">
        <f aca="false">SUM(I234:N234)</f>
        <v>-9</v>
      </c>
    </row>
    <row r="235" customFormat="false" ht="13.5" hidden="true" customHeight="true" outlineLevel="0" collapsed="false">
      <c r="B235" s="0" t="s">
        <v>154</v>
      </c>
      <c r="C235" s="15" t="n">
        <f aca="false">IF(D44="FTX",1.5,IF(D44="Frånluft",0.5,IF(D44="Självdrag",0,0.6)))</f>
        <v>1.5</v>
      </c>
      <c r="D235" s="79" t="n">
        <f aca="false">D45</f>
        <v>1.5</v>
      </c>
      <c r="G235" s="192"/>
      <c r="H235" s="0" t="s">
        <v>155</v>
      </c>
      <c r="I235" s="0" t="n">
        <f aca="false">IF(I230,I227-H227,0)</f>
        <v>0</v>
      </c>
      <c r="J235" s="0" t="n">
        <f aca="false">IF(J230,J227-I227,0)</f>
        <v>0</v>
      </c>
      <c r="K235" s="0" t="n">
        <f aca="false">IF(K230,K227-J227,0)</f>
        <v>0</v>
      </c>
      <c r="L235" s="0" t="n">
        <f aca="false">IF(L230,L227-K227,0)</f>
        <v>0</v>
      </c>
      <c r="M235" s="0" t="n">
        <f aca="false">IF(M230,M227-L227,0)</f>
        <v>0</v>
      </c>
      <c r="N235" s="0" t="n">
        <f aca="false">IF(N230,N227-M227,0)</f>
        <v>0.02</v>
      </c>
      <c r="R235" s="208" t="n">
        <f aca="false">SUM(I235:N235)</f>
        <v>0.02</v>
      </c>
    </row>
    <row r="236" customFormat="false" ht="13.5" hidden="true" customHeight="true" outlineLevel="0" collapsed="false">
      <c r="C236" s="15"/>
      <c r="D236" s="79"/>
      <c r="H236" s="192" t="s">
        <v>156</v>
      </c>
      <c r="I236" s="90"/>
      <c r="J236" s="192"/>
      <c r="R236" s="208" t="n">
        <f aca="false">-((G231-R233)/R234)*R235+R231</f>
        <v>2.48288888888889</v>
      </c>
    </row>
    <row r="237" customFormat="false" ht="12.75" hidden="true" customHeight="true" outlineLevel="0" collapsed="false">
      <c r="B237" s="0" t="s">
        <v>157</v>
      </c>
      <c r="C237" s="15" t="n">
        <f aca="false">D58*C235</f>
        <v>0.525</v>
      </c>
      <c r="D237" s="15" t="n">
        <f aca="false">D58*D235</f>
        <v>0.525</v>
      </c>
      <c r="I237" s="90"/>
    </row>
    <row r="238" customFormat="false" ht="12.75" hidden="true" customHeight="true" outlineLevel="0" collapsed="false">
      <c r="B238" s="0" t="s">
        <v>158</v>
      </c>
      <c r="C238" s="79" t="n">
        <v>0.15</v>
      </c>
      <c r="D238" s="79" t="n">
        <f aca="false">D47</f>
        <v>0.15</v>
      </c>
      <c r="I238" s="90"/>
    </row>
    <row r="239" customFormat="false" ht="12.75" hidden="true" customHeight="true" outlineLevel="0" collapsed="false">
      <c r="B239" s="0" t="s">
        <v>159</v>
      </c>
      <c r="C239" s="79" t="n">
        <f aca="false">(C238+C237)*D16</f>
        <v>94.5</v>
      </c>
      <c r="D239" s="79" t="n">
        <f aca="false">(D238+D237)*D16</f>
        <v>94.5</v>
      </c>
      <c r="I239" s="90"/>
    </row>
    <row r="240" customFormat="false" ht="12.75" hidden="true" customHeight="true" outlineLevel="0" collapsed="false">
      <c r="B240" s="0" t="s">
        <v>19</v>
      </c>
      <c r="C240" s="79" t="n">
        <f aca="false">24*365*C239/1000</f>
        <v>827.82</v>
      </c>
      <c r="D240" s="79" t="n">
        <f aca="false">24*365*D239/1000</f>
        <v>827.82</v>
      </c>
      <c r="I240" s="90"/>
    </row>
    <row r="241" customFormat="false" ht="12.75" hidden="true" customHeight="true" outlineLevel="0" collapsed="false">
      <c r="B241" s="0" t="s">
        <v>160</v>
      </c>
      <c r="C241" s="79" t="n">
        <v>0</v>
      </c>
      <c r="D241" s="187" t="n">
        <v>0</v>
      </c>
      <c r="E241" s="0" t="s">
        <v>161</v>
      </c>
      <c r="I241" s="90"/>
    </row>
    <row r="242" customFormat="false" ht="12.75" hidden="true" customHeight="true" outlineLevel="0" collapsed="false">
      <c r="B242" s="0" t="s">
        <v>162</v>
      </c>
      <c r="D242" s="211" t="n">
        <f aca="false">D241+D240</f>
        <v>827.82</v>
      </c>
      <c r="Q242" s="0" t="s">
        <v>163</v>
      </c>
    </row>
    <row r="243" customFormat="false" ht="12.75" hidden="true" customHeight="true" outlineLevel="0" collapsed="false">
      <c r="C243" s="79"/>
      <c r="Q243" s="189" t="n">
        <f aca="false">TRUNC(D12/24,0)+1</f>
        <v>4</v>
      </c>
    </row>
    <row r="244" customFormat="false" ht="12.75" hidden="true" customHeight="true" outlineLevel="0" collapsed="false">
      <c r="B244" s="212" t="s">
        <v>164</v>
      </c>
      <c r="C244" s="213" t="s">
        <v>165</v>
      </c>
      <c r="D244" s="213" t="s">
        <v>166</v>
      </c>
      <c r="E244" s="213" t="s">
        <v>167</v>
      </c>
      <c r="F244" s="213" t="s">
        <v>168</v>
      </c>
      <c r="G244" s="213" t="s">
        <v>169</v>
      </c>
      <c r="H244" s="213" t="s">
        <v>170</v>
      </c>
      <c r="I244" s="213" t="s">
        <v>171</v>
      </c>
      <c r="J244" s="213" t="s">
        <v>172</v>
      </c>
      <c r="K244" s="213" t="s">
        <v>173</v>
      </c>
      <c r="L244" s="213" t="s">
        <v>174</v>
      </c>
      <c r="M244" s="213" t="s">
        <v>175</v>
      </c>
      <c r="N244" s="213" t="s">
        <v>176</v>
      </c>
      <c r="O244" s="214" t="s">
        <v>177</v>
      </c>
      <c r="Q244" s="215" t="n">
        <f aca="false">CHOOSE((Q$243),C245,D245,E245,F245,G245,H245,I277,J245)</f>
        <v>-13.7</v>
      </c>
      <c r="R244" s="1" t="n">
        <f aca="false">IF(B245=$D$9,Q244,)</f>
        <v>-13.7</v>
      </c>
    </row>
    <row r="245" customFormat="false" ht="12.75" hidden="true" customHeight="true" outlineLevel="0" collapsed="false">
      <c r="B245" s="0" t="str">
        <f aca="false">Data!B42</f>
        <v>Stockholm</v>
      </c>
      <c r="C245" s="213" t="n">
        <f aca="false">Data!F42</f>
        <v>-15.5</v>
      </c>
      <c r="D245" s="213" t="n">
        <f aca="false">Data!G42</f>
        <v>-14.9</v>
      </c>
      <c r="E245" s="213" t="n">
        <f aca="false">Data!H42</f>
        <v>-14.4</v>
      </c>
      <c r="F245" s="213" t="n">
        <f aca="false">Data!I42</f>
        <v>-13.7</v>
      </c>
      <c r="G245" s="213" t="n">
        <f aca="false">Data!J42</f>
        <v>-13.1</v>
      </c>
      <c r="H245" s="213" t="n">
        <f aca="false">Data!K42</f>
        <v>-12.8</v>
      </c>
      <c r="I245" s="213" t="n">
        <f aca="false">Data!L42</f>
        <v>-12.7</v>
      </c>
      <c r="J245" s="213" t="n">
        <f aca="false">Data!M42</f>
        <v>-12.4</v>
      </c>
      <c r="K245" s="213" t="n">
        <f aca="false">Data!N42</f>
        <v>-11.9</v>
      </c>
      <c r="L245" s="213" t="n">
        <f aca="false">Data!O42</f>
        <v>-11.9</v>
      </c>
      <c r="M245" s="213" t="n">
        <f aca="false">Data!P42</f>
        <v>-11.6</v>
      </c>
      <c r="N245" s="213" t="n">
        <f aca="false">Data!Q42</f>
        <v>-11.4</v>
      </c>
      <c r="R245" s="216"/>
    </row>
    <row r="246" customFormat="false" ht="12.75" hidden="true" customHeight="true" outlineLevel="0" collapsed="false">
      <c r="B246" s="0" t="s">
        <v>178</v>
      </c>
      <c r="C246" s="0" t="str">
        <f aca="false">Data!C31</f>
        <v>Stockholm</v>
      </c>
    </row>
    <row r="247" customFormat="false" ht="12.75" hidden="true" customHeight="true" outlineLevel="0" collapsed="false">
      <c r="B247" s="0" t="s">
        <v>177</v>
      </c>
      <c r="C247" s="213" t="n">
        <f aca="false">Data!C32</f>
        <v>1</v>
      </c>
    </row>
    <row r="248" customFormat="false" ht="12.75" hidden="true" customHeight="true" outlineLevel="0" collapsed="false">
      <c r="B248" s="217"/>
    </row>
    <row r="249" customFormat="false" ht="12.75" hidden="true" customHeight="true" outlineLevel="0" collapsed="false">
      <c r="D249" s="79"/>
    </row>
    <row r="250" customFormat="false" ht="12.75" hidden="true" customHeight="true" outlineLevel="0" collapsed="false"/>
    <row r="251" customFormat="false" ht="12.75" hidden="false" customHeight="true" outlineLevel="0" collapsed="false">
      <c r="D251" s="79"/>
      <c r="F251" s="218"/>
      <c r="G251" s="219"/>
      <c r="H251" s="49"/>
    </row>
    <row r="252" customFormat="false" ht="12.75" hidden="false" customHeight="true" outlineLevel="0" collapsed="false">
      <c r="D252" s="79"/>
      <c r="F252" s="218"/>
      <c r="G252" s="219"/>
      <c r="H252" s="49"/>
    </row>
    <row r="253" customFormat="false" ht="12.75" hidden="false" customHeight="true" outlineLevel="0" collapsed="false">
      <c r="D253" s="187"/>
    </row>
    <row r="254" customFormat="false" ht="12.75" hidden="false" customHeight="true" outlineLevel="0" collapsed="false">
      <c r="D254" s="79"/>
      <c r="F254" s="218"/>
      <c r="G254" s="49"/>
      <c r="H254" s="49"/>
    </row>
    <row r="256" customFormat="false" ht="24" hidden="false" customHeight="true" outlineLevel="0" collapsed="false">
      <c r="B256" s="90"/>
    </row>
    <row r="263" customFormat="false" ht="12.75" hidden="false" customHeight="true" outlineLevel="0" collapsed="false">
      <c r="I263" s="79"/>
    </row>
    <row r="264" customFormat="false" ht="12.75" hidden="false" customHeight="true" outlineLevel="0" collapsed="false">
      <c r="I264" s="79"/>
    </row>
    <row r="266" customFormat="false" ht="12.75" hidden="false" customHeight="true" outlineLevel="0" collapsed="false">
      <c r="I266" s="192"/>
    </row>
  </sheetData>
  <mergeCells count="59">
    <mergeCell ref="C3:D3"/>
    <mergeCell ref="C4:D4"/>
    <mergeCell ref="B71:D71"/>
    <mergeCell ref="B72:D72"/>
    <mergeCell ref="B74:D74"/>
    <mergeCell ref="O77:U77"/>
    <mergeCell ref="O80:U80"/>
    <mergeCell ref="S85:U85"/>
    <mergeCell ref="T86:U86"/>
    <mergeCell ref="T87:U87"/>
    <mergeCell ref="P91:R91"/>
    <mergeCell ref="P92:R92"/>
    <mergeCell ref="P93:R93"/>
    <mergeCell ref="P94:R94"/>
    <mergeCell ref="P95:R95"/>
    <mergeCell ref="P96:R96"/>
    <mergeCell ref="P99:R99"/>
    <mergeCell ref="P100:R100"/>
    <mergeCell ref="P101:R101"/>
    <mergeCell ref="Q102:T102"/>
    <mergeCell ref="P103:R103"/>
    <mergeCell ref="P104:R104"/>
    <mergeCell ref="P105:R105"/>
    <mergeCell ref="P106:R106"/>
    <mergeCell ref="P107:R107"/>
    <mergeCell ref="P108:R108"/>
    <mergeCell ref="P110:R110"/>
    <mergeCell ref="P111:R111"/>
    <mergeCell ref="P112:R112"/>
    <mergeCell ref="P113:R113"/>
    <mergeCell ref="P114:R114"/>
    <mergeCell ref="P115:R115"/>
    <mergeCell ref="P116:R116"/>
    <mergeCell ref="P117:R117"/>
    <mergeCell ref="P118:R118"/>
    <mergeCell ref="P120:R120"/>
    <mergeCell ref="P121:R121"/>
    <mergeCell ref="P122:R122"/>
    <mergeCell ref="P123:R123"/>
    <mergeCell ref="P124:R124"/>
    <mergeCell ref="P125:R125"/>
    <mergeCell ref="P126:R126"/>
    <mergeCell ref="P128:R128"/>
    <mergeCell ref="P129:R129"/>
    <mergeCell ref="P130:R130"/>
    <mergeCell ref="P131:R131"/>
    <mergeCell ref="P132:R132"/>
    <mergeCell ref="P133:R133"/>
    <mergeCell ref="P134:R134"/>
    <mergeCell ref="P136:R136"/>
    <mergeCell ref="P137:R137"/>
    <mergeCell ref="P138:R138"/>
    <mergeCell ref="P139:R139"/>
    <mergeCell ref="P140:R140"/>
    <mergeCell ref="P141:R141"/>
    <mergeCell ref="P143:T143"/>
    <mergeCell ref="P144:T144"/>
    <mergeCell ref="P145:T145"/>
    <mergeCell ref="P146:T146"/>
  </mergeCells>
  <dataValidations count="54">
    <dataValidation allowBlank="true" errorStyle="stop" operator="equal" prompt="Kommunen bestämmer geografisk faktor för beräkning primärenergital samt DVUT.&#13;DVUT påverkar desutom prestandaval för värmepumpar." promptTitle="Kommun" showDropDown="false" showErrorMessage="true" showInputMessage="true" sqref="D6" type="list">
      <formula1>INDIRECT(D5)</formula1>
      <formula2>0</formula2>
    </dataValidation>
    <dataValidation allowBlank="true" errorStyle="stop" operator="between" prompt="Här kan du ange &quot;gratis&quot; energi som används och kan nyttjas för byggnadens uppvärmning och varmvatten. Observera att solenergi som matas ut på allmänna elnätet inte ska medräknas." promptTitle="VV. återvinning" showDropDown="false" showErrorMessage="true" showInputMessage="true" sqref="D22" type="whole">
      <formula1>0</formula1>
      <formula2>D20</formula2>
    </dataValidation>
    <dataValidation allowBlank="true" errorStyle="stop" operator="between" showDropDown="false" showErrorMessage="true" showInputMessage="true" sqref="D59" type="decimal">
      <formula1>0</formula1>
      <formula2>E202</formula2>
    </dataValidation>
    <dataValidation allowBlank="true" errorStyle="stop" operator="equal" showDropDown="false" showErrorMessage="true" showInputMessage="false" sqref="B3:B10 C9:C15 B12:B15" type="none">
      <formula1>0</formula1>
      <formula2>0</formula2>
    </dataValidation>
    <dataValidation allowBlank="true" errorStyle="stop" operator="between" showDropDown="false" showErrorMessage="true" showInputMessage="false" sqref="D17:D19 D67" type="decimal">
      <formula1>0</formula1>
      <formula2>100000000</formula2>
    </dataValidation>
    <dataValidation allowBlank="true" errorStyle="stop" operator="equal" prompt="Värmekälla enl BEN: Data väljs enl. tabellverk för års-COP för uppvärmning av varmvatten.&#10;Övriga värmesystem ger normalvärden för värmesystem med lite marginal.&#10;Frånluftsvärmepump större används endast för värmepumpar med prestanda typ NIBE F730/750" promptTitle="Värmekälla" showDropDown="false" showErrorMessage="true" showInputMessage="true" sqref="D23" type="list">
      <formula1>$B$208:$B$225</formula1>
      <formula2>0</formula2>
    </dataValidation>
    <dataValidation allowBlank="true" errorStyle="stop" operator="equal" prompt="Ökad energianvändning på grund av vädring bör beaktas i energiberäk- ningen. Ett påslag på 4 kWh/m2/Atemp år bör användas om inte ett annat värde kan motiveras. Vid ett energipåslag behöver årsverkningsgraden hos värmekällan beakta&#13;I BEN-1 var det 4 W/m2&#13;" promptTitle="Vädringspåslag Ben-2" showDropDown="false" showErrorMessage="true" showInputMessage="true" sqref="D21" type="none">
      <formula1>0</formula1>
      <formula2>0</formula2>
    </dataValidation>
    <dataValidation allowBlank="true" errorStyle="stop" operator="between" prompt="Innerväggar och håligheter övre plan medräknas i A-Temp.&#10;Area för garage i bostad ingår inte i A-temp för fördelning, men areans värmeåtgång ska ingå i beräkningen om den är värmd till mer än 10 grader C" promptTitle="Uppvärmd area innanför klimathöljet." showDropDown="false" showErrorMessage="true" showInputMessage="true" sqref="D16" type="decimal">
      <formula1>0</formula1>
      <formula2>100000000</formula2>
    </dataValidation>
    <dataValidation allowBlank="true" errorStyle="stop" operator="between" prompt="Kan kan skrivas över med eget värde om luftflödet är större än 0,35 l/s/m2&#10;I originakblankett är detta värde 0,35" promptTitle="Luftflöde" showDropDown="false" showErrorMessage="true" showInputMessage="true" sqref="D58" type="decimal">
      <formula1>0</formula1>
      <formula2>1.35</formula2>
    </dataValidation>
    <dataValidation allowBlank="true" errorStyle="stop" operator="equal" showDropDown="false" showErrorMessage="true" showInputMessage="false" sqref="D44" type="list">
      <formula1>"Frånluft,FTX,Självdrag,? men ej FTX"</formula1>
      <formula2>0</formula2>
    </dataValidation>
    <dataValidation allowBlank="true" errorStyle="stop" operator="equal" prompt="Originalformel =D165" promptTitle="Kan skrivas över med eget värde" showDropDown="false" showErrorMessage="true" showInputMessage="true" sqref="D51:D53" type="none">
      <formula1>0</formula1>
      <formula2>0</formula2>
    </dataValidation>
    <dataValidation allowBlank="true" errorStyle="stop" operator="between" prompt="Tidigare indata angav 500 kWh/år + 300 kWh/år per lägenhet&#10;Enligt tolkning av BEN-1 ska detta värde sättas till 0&#10;" showDropDown="false" showErrorMessage="true" showInputMessage="true" sqref="D35" type="none">
      <formula1>0</formula1>
      <formula2>0</formula2>
    </dataValidation>
    <dataValidation allowBlank="true" errorStyle="stop" operator="between" prompt="Beräkns utifrån FSP och area.&#13;Original =D45*D58" promptTitle="Fläktars effektförbrukning." showDropDown="false" showErrorMessage="true" showInputMessage="true" sqref="D46" type="none">
      <formula1>0</formula1>
      <formula2>0</formula2>
    </dataValidation>
    <dataValidation allowBlank="true" errorStyle="stop" operator="between" prompt="Cirkulationspumpars effekt per m2&#13;Original =C236" promptTitle="ACirkulationspumpars effekt" showDropDown="false" showErrorMessage="true" showInputMessage="true" sqref="D47" type="none">
      <formula1>0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true" sqref="D7" type="list">
      <formula1>$B$196:$B$201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false" sqref="C3:C4 E3:E10 E12:E15" type="none">
      <formula1>0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false" sqref="D3:D4" type="list">
      <formula1>"Småhus,Flerbostadshus,Flerbostadshus lght &lt; 35 m2,Lokal"</formula1>
      <formula2>0</formula2>
    </dataValidation>
    <dataValidation allowBlank="true" errorStyle="stop" operator="equal" promptTitle="Klimatzon" showDropDown="false" showErrorMessage="true" showInputMessage="false" sqref="C5:C6" type="none">
      <formula1>0</formula1>
      <formula2>0</formula2>
    </dataValidation>
    <dataValidation allowBlank="false" errorStyle="stop" operator="equal" prompt="I originalblanketten räknas  DVUT automatiskt.&#10;från vald ort och tidskonstant." promptTitle="Ort för dimensionerande ute" showDropDown="false" showErrorMessage="true" showInputMessage="true" sqref="D9" type="none">
      <formula1>0</formula1>
      <formula2>0</formula2>
    </dataValidation>
    <dataValidation allowBlank="true" errorStyle="stop" operator="equal" prompt="Värdet räknas ut från vald ort.&#10;Originalformel=R243" promptTitle="DVUT" showDropDown="false" showErrorMessage="true" showInputMessage="true" sqref="D10" type="none">
      <formula1>0</formula1>
      <formula2>0</formula2>
    </dataValidation>
    <dataValidation allowBlank="true" errorStyle="stop" operator="between" prompt="Rapportsida 1&#13;BEN 2 kräver särskild utredning om man vill använda högre värde än 96 tim.&#13;Större värde ger lägre dimensionerande utetemperatur." promptTitle="Frän EnergyCalc" showDropDown="false" showErrorMessage="true" showInputMessage="true" sqref="D12" type="whole">
      <formula1>0</formula1>
      <formula2>191</formula2>
    </dataValidation>
    <dataValidation allowBlank="true" errorStyle="stop" operator="equal" prompt="Rapportsida 1 &#13;" promptTitle="Från EnergyCalc" showDropDown="false" showErrorMessage="true" showInputMessage="true" sqref="D13" type="none">
      <formula1>0</formula1>
      <formula2>0</formula2>
    </dataValidation>
    <dataValidation allowBlank="true" errorStyle="stop" operator="between" prompt="Rapportsida 1" promptTitle="Data från EnergyCalc" showDropDown="false" showErrorMessage="true" showInputMessage="true" sqref="D15" type="decimal">
      <formula1>0.001</formula1>
      <formula2>5</formula2>
    </dataValidation>
    <dataValidation allowBlank="true" errorStyle="stop" operator="between" promptTitle="Övrig fastighetsel" showDropDown="false" showErrorMessage="true" showInputMessage="true" sqref="D49" type="none">
      <formula1>0</formula1>
      <formula2>0</formula2>
    </dataValidation>
    <dataValidation allowBlank="true" errorStyle="stop" operator="between" promptTitle="Normalvärden BEN-1" showDropDown="false" showErrorMessage="true" showInputMessage="true" sqref="D33" type="none">
      <formula1>0</formula1>
      <formula2>0</formula2>
    </dataValidation>
    <dataValidation allowBlank="true" errorStyle="stop" operator="equal" prompt="Filtrerar valbara orter kommuner" promptTitle="Län" showDropDown="false" showErrorMessage="true" showInputMessage="true" sqref="D5" type="list">
      <formula1>LänFgeo</formula1>
      <formula2>0</formula2>
    </dataValidation>
    <dataValidation allowBlank="true" errorStyle="stop" operator="equal" promptTitle="Bostadstyp" showDropDown="false" showErrorMessage="true" showInputMessage="false" sqref="D14" type="none">
      <formula1>0</formula1>
      <formula2>0</formula2>
    </dataValidation>
    <dataValidation allowBlank="true" errorStyle="stop" operator="between" prompt="Från EnergyCalc &#10;Rapportsida 2 mitt höger." promptTitle="Energianvändning - brutto" showDropDown="false" showErrorMessage="true" showInputMessage="true" sqref="D20" type="decimal">
      <formula1>0</formula1>
      <formula2>100000000</formula2>
    </dataValidation>
    <dataValidation allowBlank="true" errorStyle="stop" operator="between" prompt="Köpt energi för uppvärmning och ventillation. Bruttoenergi  justerad med inverkan av värmesystemets verkningsgrad (års-COP)&#13;" promptTitle="Energianvändning netto uppvärm" showDropDown="false" showErrorMessage="true" showInputMessage="true" sqref="D25" type="none">
      <formula1>0</formula1>
      <formula2>0</formula2>
    </dataValidation>
    <dataValidation allowBlank="true" errorStyle="stop" operator="equal" promptTitle="Verkningsgrad" showDropDown="false" showErrorMessage="true" showInputMessage="true" sqref="D32 D37:D38" type="none">
      <formula1>0</formula1>
      <formula2>0</formula2>
    </dataValidation>
    <dataValidation allowBlank="true" errorStyle="stop" operator="between" prompt="Autouträknad för vald ventilation.&#13;Kan ändras vid behov.&#13;Original =C233" promptTitle="Fläktars relativa effekttal" showDropDown="false" showErrorMessage="true" showInputMessage="true" sqref="D45" type="decimal">
      <formula1>0</formula1>
      <formula2>5</formula2>
    </dataValidation>
    <dataValidation allowBlank="true" errorStyle="stop" operator="equal" prompt="bara info" promptTitle="besparing" showDropDown="false" showErrorMessage="true" showInputMessage="false" sqref="D68" type="none">
      <formula1>0</formula1>
      <formula2>0</formula2>
    </dataValidation>
    <dataValidation allowBlank="true" errorStyle="stop" operator="between" prompt="Standardvärde beräknas ut automatiskt från vald ort och värmesystem.. Det är här du ska ändra värmesystemets prestanda om du har kända uppgifter och inte har valt BEN värmesystem.&#13;I original =C229" promptTitle="Års-COP värme-ventillation" showDropDown="false" showErrorMessage="true" showInputMessage="true" sqref="D24" type="decimal">
      <formula1>0</formula1>
      <formula2>100000000</formula2>
    </dataValidation>
    <dataValidation allowBlank="true" errorStyle="stop" operator="between" prompt="Effekt för uppvärmning och ventillation justerad för vald ort enligt SMHI BBR" promptTitle="Effektanv. Ben 1..3 justerad" showDropDown="false" showErrorMessage="true" showInputMessage="true" sqref="D27" type="none">
      <formula1>0</formula1>
      <formula2>0</formula2>
    </dataValidation>
    <dataValidation allowBlank="true" errorStyle="stop" operator="between" prompt="Standardvärde för verkningsgraden (COP) vid DVUT,  beräknas ut automatiskt från vald ort och värmesystem..&#10;&#13;I origin=R234" promptTitle="COP @ DVUT värme  &amp; ventillation" showDropDown="false" showErrorMessage="true" showInputMessage="true" sqref="D28" type="decimal">
      <formula1>0</formula1>
      <formula2>100000000</formula2>
    </dataValidation>
    <dataValidation allowBlank="true" errorStyle="stop" operator="equal" prompt="Standardvärde beräknas ut automatiskt från vald ort och värmesystem.. Det är här du ska ändra värmesystemets prestanda om du har kända uppgifter och inte har valt BEN värmesystem.&#13;I original =E228" promptTitle="Års-COP varmvatten" showDropDown="false" showErrorMessage="true" showInputMessage="true" sqref="D36" type="none">
      <formula1>0</formula1>
      <formula2>0</formula2>
    </dataValidation>
    <dataValidation allowBlank="true" errorStyle="stop" operator="between" prompt="Standardvärde för verkningsgraden (COP) vid DVUT,  beräknas ut automatiskt från vald ort och värmesystem..&#13;I original =IF((T225=1);1;R234)" promptTitle="COP @ DVUT varmvatten" showDropDown="false" showErrorMessage="true" showInputMessage="true" sqref="D39" type="decimal">
      <formula1>0</formula1>
      <formula2>100000000</formula2>
    </dataValidation>
    <dataValidation allowBlank="true" errorStyle="stop" operator="equal" prompt="Konstante för värmetyp enligt BEN 1..3&#13;=C225 i original" promptTitle="Primärenergital enl BEN-1..3" showDropDown="false" showErrorMessage="true" showInputMessage="true" sqref="D55" type="none">
      <formula1>0</formula1>
      <formula2>0</formula2>
    </dataValidation>
    <dataValidation allowBlank="true" errorStyle="stop" operator="between" prompt="Sammanställning energiförbrukning för fläktar och cirkulationspumpar.&#10;=(D49+D46)*D16*365*24/1000" promptTitle="Energi pumpar &amp; fläktmotorer" showDropDown="false" showErrorMessage="true" showInputMessage="true" sqref="D48" type="none">
      <formula1>0</formula1>
      <formula2>0</formula2>
    </dataValidation>
    <dataValidation allowBlank="true" errorStyle="stop" operator="equal" prompt="Originalformel =D240+D49" promptTitle="Total fastighetsel" showDropDown="false" showErrorMessage="true" showInputMessage="true" sqref="D50" type="none">
      <formula1>0</formula1>
      <formula2>0</formula2>
    </dataValidation>
    <dataValidation allowBlank="true" errorStyle="stop" operator="equal" prompt="Sammmanställning / beräkning av primärenergitalet" promptTitle="BBR primärenergital" showDropDown="false" showErrorMessage="true" showInputMessage="true" sqref="D57" type="none">
      <formula1>0</formula1>
      <formula2>0</formula2>
    </dataValidation>
    <dataValidation allowBlank="true" errorStyle="stop" operator="equal" promptTitle="Erforderlig köpt effekt" showDropDown="false" showErrorMessage="true" showInputMessage="true" sqref="D61" type="none">
      <formula1>0</formula1>
      <formula2>0</formula2>
    </dataValidation>
    <dataValidation allowBlank="true" errorStyle="stop" operator="equal" prompt="Beräkningsresultat" promptTitle="Beräkningsresultat" showDropDown="false" showErrorMessage="true" showInputMessage="true" sqref="D62:D64" type="none">
      <formula1>0</formula1>
      <formula2>0</formula2>
    </dataValidation>
    <dataValidation allowBlank="true" errorStyle="stop" operator="between" prompt="Beräkningsresultat" promptTitle="Beräkningsresultat" showDropDown="false" showErrorMessage="true" showInputMessage="true" sqref="D65" type="none">
      <formula1>0</formula1>
      <formula2>0</formula2>
    </dataValidation>
    <dataValidation allowBlank="true" errorStyle="stop" operator="between" prompt="Beräkningsresultat" promptTitle="Beräkningsresultat" showDropDown="false" showErrorMessage="true" showInputMessage="true" sqref="D66" type="decimal">
      <formula1>0</formula1>
      <formula2>100000000</formula2>
    </dataValidation>
    <dataValidation allowBlank="true" errorStyle="stop" operator="between" prompt="Plats för egna noteringar" promptTitle="Plats för egna noteringar" showDropDown="false" showErrorMessage="true" showInputMessage="true" sqref="B74:D74" type="none">
      <formula1>0</formula1>
      <formula2>0</formula2>
    </dataValidation>
    <dataValidation allowBlank="true" errorStyle="stop" operator="equal" showDropDown="false" showErrorMessage="true" showInputMessage="false" sqref="D60" type="none">
      <formula1>0</formula1>
      <formula2>0</formula2>
    </dataValidation>
    <dataValidation allowBlank="true" errorStyle="stop" operator="equal" prompt="Konstant &#13;Enligt BBR29&#10;1,8 för fastighetsel via el&#10;" promptTitle="Primärenergikonatant enl BBR" showDropDown="false" showErrorMessage="true" showInputMessage="true" sqref="D56" type="none">
      <formula1>0</formula1>
      <formula2>0</formula2>
    </dataValidation>
    <dataValidation allowBlank="true" errorStyle="stop" operator="between" prompt="Här skriver du in rubrik för &quot;gratisenergi&quot; som Solfångare, Solcelleer eller annan gratisenergi. Observera att el som levereras ut på allmänna elnätet inte kan tillgodoräknas.  Ved är inte heller gratisenegi." showDropDown="false" showErrorMessage="true" showInputMessage="true" sqref="B22" type="none">
      <formula1>0</formula1>
      <formula2>0</formula2>
    </dataValidation>
    <dataValidation allowBlank="true" errorStyle="stop" operator="between" showDropDown="false" showErrorMessage="true" showInputMessage="true" sqref="B146" type="list">
      <formula1>$B$151:$B$172</formula1>
      <formula2>0</formula2>
    </dataValidation>
    <dataValidation allowBlank="true" errorStyle="stop" operator="between" prompt="Köpt energi för uppvärmning och ventillation justerad för vald primärort" promptTitle="Energianvändning Netto- justerad" showDropDown="false" showErrorMessage="true" showInputMessage="true" sqref="D30:D31" type="none">
      <formula1>0</formula1>
      <formula2>0</formula2>
    </dataValidation>
    <dataValidation allowBlank="true" errorStyle="stop" operator="equal" showDropDown="false" showErrorMessage="true" showInputMessage="true" sqref="D54" type="none">
      <formula1>0</formula1>
      <formula2>0</formula2>
    </dataValidation>
    <dataValidation allowBlank="true" errorStyle="stop" operator="between" prompt="Köpt energi för uppvärmning och ventillation justerad för vald primärort enligt BEN 1..3.&#13;Relativt energital" promptTitle="Energianvändning Ben 1/2 justera" showDropDown="false" showErrorMessage="true" showInputMessage="true" sqref="D26" type="none">
      <formula1>0</formula1>
      <formula2>0</formula2>
    </dataValidation>
    <dataValidation allowBlank="true" errorStyle="stop" operator="between" prompt="Erforderlig effekt för uppvärmning och ventillation justerad för vald primärort" promptTitle="Effektbehov Netto- justerad" showDropDown="false" showErrorMessage="true" showInputMessage="true" sqref="D29" type="none">
      <formula1>0</formula1>
      <formula2>0</formula2>
    </dataValidation>
  </dataValidations>
  <printOptions headings="false" gridLines="false" gridLinesSet="true" horizontalCentered="false" verticalCentered="false"/>
  <pageMargins left="0.45" right="0.05" top="0.359722222222222" bottom="0.160416666666667" header="0.511811023622047" footer="0.3"/>
  <pageSetup paperSize="9" scale="9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&amp;C&amp;"Times New Roman,Italic"&amp;12 000000&amp;F&amp;R&amp;"Times New Roman,Italic"&amp;12 000000Utskriven:_x005F_x000D_&amp;D</oddFooter>
  </headerFooter>
  <rowBreaks count="1" manualBreakCount="1">
    <brk id="11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87"/>
  <sheetViews>
    <sheetView showFormulas="false" showGridLines="true" showRowColHeaders="true" showZeros="true" rightToLeft="false" tabSelected="false" showOutlineSymbols="true" defaultGridColor="true" view="normal" topLeftCell="A10" colorId="64" zoomScale="120" zoomScaleNormal="120" zoomScalePageLayoutView="100" workbookViewId="0">
      <selection pane="topLeft" activeCell="C10" activeCellId="0" sqref="C1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2" min="2" style="0" width="18"/>
    <col collapsed="false" customWidth="true" hidden="false" outlineLevel="0" max="3" min="3" style="0" width="17.71"/>
    <col collapsed="false" customWidth="true" hidden="false" outlineLevel="0" max="4" min="4" style="220" width="59.42"/>
    <col collapsed="false" customWidth="true" hidden="false" outlineLevel="0" max="5" min="5" style="220" width="16.71"/>
    <col collapsed="false" customWidth="true" hidden="false" outlineLevel="0" max="6" min="6" style="0" width="14.15"/>
    <col collapsed="false" customWidth="true" hidden="false" outlineLevel="0" max="15" min="15" style="0" width="2.29"/>
    <col collapsed="false" customWidth="true" hidden="false" outlineLevel="0" max="17" min="17" style="0" width="10.71"/>
    <col collapsed="false" customWidth="true" hidden="false" outlineLevel="0" max="18" min="18" style="0" width="11.42"/>
    <col collapsed="false" customWidth="true" hidden="false" outlineLevel="0" max="19" min="19" style="0" width="7.42"/>
    <col collapsed="false" customWidth="true" hidden="false" outlineLevel="0" max="20" min="20" style="0" width="8.29"/>
    <col collapsed="false" customWidth="true" hidden="false" outlineLevel="0" max="21" min="21" style="0" width="7"/>
  </cols>
  <sheetData>
    <row r="1" customFormat="false" ht="12.75" hidden="false" customHeight="true" outlineLevel="0" collapsed="false">
      <c r="B1" s="221"/>
    </row>
    <row r="2" customFormat="false" ht="12.75" hidden="false" customHeight="true" outlineLevel="0" collapsed="false">
      <c r="B2" s="222" t="s">
        <v>30</v>
      </c>
    </row>
    <row r="3" customFormat="false" ht="21.75" hidden="false" customHeight="true" outlineLevel="0" collapsed="false">
      <c r="A3" s="0" t="str">
        <f aca="false">C24</f>
        <v>Transmission</v>
      </c>
      <c r="B3" s="223" t="n">
        <v>5000</v>
      </c>
    </row>
    <row r="4" customFormat="false" ht="18.75" hidden="false" customHeight="true" outlineLevel="0" collapsed="false">
      <c r="A4" s="0" t="s">
        <v>179</v>
      </c>
      <c r="B4" s="223" t="n">
        <v>2000</v>
      </c>
    </row>
    <row r="5" customFormat="false" ht="18.75" hidden="false" customHeight="true" outlineLevel="0" collapsed="false">
      <c r="A5" s="0" t="str">
        <f aca="false">C26</f>
        <v>Luftläckage</v>
      </c>
      <c r="B5" s="223" t="n">
        <v>30</v>
      </c>
      <c r="C5" s="224"/>
    </row>
    <row r="6" customFormat="false" ht="18.75" hidden="false" customHeight="true" outlineLevel="0" collapsed="false">
      <c r="A6" s="0" t="str">
        <f aca="false">C32</f>
        <v>Internt tillskott</v>
      </c>
      <c r="B6" s="223" t="n">
        <v>1000</v>
      </c>
    </row>
    <row r="7" customFormat="false" ht="18.75" hidden="false" customHeight="true" outlineLevel="0" collapsed="false">
      <c r="A7" s="0" t="str">
        <f aca="false">C33</f>
        <v>Solinstrålning fönster</v>
      </c>
      <c r="B7" s="223" t="n">
        <v>1000</v>
      </c>
    </row>
    <row r="8" customFormat="false" ht="44.25" hidden="false" customHeight="true" outlineLevel="0" collapsed="false"/>
    <row r="9" customFormat="false" ht="12.75" hidden="false" customHeight="true" outlineLevel="0" collapsed="false">
      <c r="A9" s="43" t="s">
        <v>180</v>
      </c>
    </row>
    <row r="10" customFormat="false" ht="18.75" hidden="false" customHeight="true" outlineLevel="0" collapsed="false">
      <c r="A10" s="0" t="s">
        <v>181</v>
      </c>
    </row>
    <row r="11" customFormat="false" ht="18.75" hidden="false" customHeight="true" outlineLevel="0" collapsed="false">
      <c r="A11" s="0" t="s">
        <v>182</v>
      </c>
    </row>
    <row r="12" customFormat="false" ht="18.75" hidden="false" customHeight="true" outlineLevel="0" collapsed="false">
      <c r="A12" s="0" t="str">
        <f aca="false">'Energibalansrapport proj'!P101</f>
        <v/>
      </c>
    </row>
    <row r="13" customFormat="false" ht="18.75" hidden="false" customHeight="true" outlineLevel="0" collapsed="false">
      <c r="A13" s="0" t="str">
        <f aca="false">'Energibalansrapport proj'!P227</f>
        <v>Jord/Berg -värmepump besparing @BEN</v>
      </c>
    </row>
    <row r="14" customFormat="false" ht="18.75" hidden="false" customHeight="true" outlineLevel="0" collapsed="false">
      <c r="A14" s="224" t="s">
        <v>183</v>
      </c>
    </row>
    <row r="16" customFormat="false" ht="13.5" hidden="false" customHeight="true" outlineLevel="0" collapsed="false"/>
    <row r="17" customFormat="false" ht="15.75" hidden="false" customHeight="true" outlineLevel="0" collapsed="false"/>
    <row r="18" customFormat="false" ht="13.5" hidden="false" customHeight="true" outlineLevel="0" collapsed="false"/>
    <row r="19" customFormat="false" ht="24.75" hidden="false" customHeight="true" outlineLevel="0" collapsed="false">
      <c r="A19" s="162" t="str">
        <f aca="false">CONCATENATE('Energibalansrapport proj'!C3,"  Projekterad energiförbrukning för uppvärmning och varmvatten (BEN-1..3)   ",ROUND(N(D29),0)," kWh/år")</f>
        <v>  Projekterad energiförbrukning för uppvärmning och varmvatten (BEN-1..3)   11218 kWh/år</v>
      </c>
      <c r="B19" s="225"/>
    </row>
    <row r="20" customFormat="false" ht="7.5" hidden="false" customHeight="true" outlineLevel="0" collapsed="false">
      <c r="A20" s="226"/>
      <c r="B20" s="226"/>
      <c r="C20" s="226"/>
      <c r="D20" s="227"/>
      <c r="E20" s="220" t="str">
        <f aca="false">T(D29)</f>
        <v/>
      </c>
    </row>
    <row r="21" customFormat="false" ht="409.5" hidden="false" customHeight="true" outlineLevel="0" collapsed="false"/>
    <row r="22" customFormat="false" ht="18" hidden="true" customHeight="true" outlineLevel="0" collapsed="false"/>
    <row r="23" customFormat="false" ht="12.75" hidden="true" customHeight="true" outlineLevel="0" collapsed="false">
      <c r="A23" s="0" t="s">
        <v>184</v>
      </c>
      <c r="B23" s="0" t="s">
        <v>185</v>
      </c>
      <c r="D23" s="220" t="s">
        <v>186</v>
      </c>
      <c r="F23" s="0" t="s">
        <v>186</v>
      </c>
    </row>
    <row r="24" customFormat="false" ht="18.75" hidden="true" customHeight="true" outlineLevel="0" collapsed="false">
      <c r="A24" s="0" t="s">
        <v>187</v>
      </c>
      <c r="B24" s="228" t="n">
        <f aca="false">100*D24/B$29</f>
        <v>44.571940002603</v>
      </c>
      <c r="C24" s="228" t="str">
        <f aca="false">A24</f>
        <v>Transmission</v>
      </c>
      <c r="D24" s="220" t="n">
        <f aca="false">F24</f>
        <v>5000</v>
      </c>
      <c r="F24" s="221" t="n">
        <f aca="false">B3</f>
        <v>5000</v>
      </c>
    </row>
    <row r="25" customFormat="false" ht="18.75" hidden="true" customHeight="true" outlineLevel="0" collapsed="false">
      <c r="A25" s="0" t="s">
        <v>188</v>
      </c>
      <c r="B25" s="228" t="n">
        <f aca="false">100*D25/B$29</f>
        <v>22.8208332813327</v>
      </c>
      <c r="C25" s="228" t="str">
        <f aca="false">A25</f>
        <v>Ventillation+vädring</v>
      </c>
      <c r="D25" s="220" t="n">
        <f aca="false">F25</f>
        <v>2560</v>
      </c>
      <c r="F25" s="221" t="n">
        <f aca="false">B4+'Energibalansrapport proj'!T100</f>
        <v>2560</v>
      </c>
    </row>
    <row r="26" customFormat="false" ht="18.75" hidden="true" customHeight="true" outlineLevel="0" collapsed="false">
      <c r="A26" s="0" t="s">
        <v>189</v>
      </c>
      <c r="B26" s="228" t="n">
        <f aca="false">100*D26/B$29</f>
        <v>0.267431640015618</v>
      </c>
      <c r="C26" s="228" t="str">
        <f aca="false">A26</f>
        <v>Luftläckage</v>
      </c>
      <c r="D26" s="220" t="n">
        <f aca="false">F26</f>
        <v>30</v>
      </c>
      <c r="F26" s="221" t="n">
        <f aca="false">B5</f>
        <v>30</v>
      </c>
      <c r="H26" s="192" t="n">
        <f aca="false">SUM(F24:F26)</f>
        <v>7590</v>
      </c>
    </row>
    <row r="27" customFormat="false" ht="18.75" hidden="true" customHeight="true" outlineLevel="0" collapsed="false">
      <c r="A27" s="0" t="s">
        <v>190</v>
      </c>
      <c r="B27" s="228" t="n">
        <f aca="false">100*D27/B$29</f>
        <v>24.9602864014577</v>
      </c>
      <c r="C27" s="228" t="str">
        <f aca="false">A27</f>
        <v>Varmvatten</v>
      </c>
      <c r="D27" s="220" t="n">
        <f aca="false">F27</f>
        <v>2800</v>
      </c>
      <c r="F27" s="229" t="n">
        <f aca="false">'Energibalansrapport proj'!D34+'Energibalansrapport proj'!D35</f>
        <v>2800</v>
      </c>
      <c r="K27" s="230" t="n">
        <f aca="false">A29</f>
        <v>0</v>
      </c>
    </row>
    <row r="28" customFormat="false" ht="18.75" hidden="true" customHeight="true" outlineLevel="0" collapsed="false">
      <c r="A28" s="0" t="s">
        <v>191</v>
      </c>
      <c r="B28" s="228" t="s">
        <v>192</v>
      </c>
      <c r="C28" s="228" t="str">
        <f aca="false">A28</f>
        <v>Installationer</v>
      </c>
      <c r="D28" s="220" t="n">
        <f aca="false">F28</f>
        <v>827.82</v>
      </c>
      <c r="F28" s="221" t="n">
        <f aca="false">'Energibalansrapport proj'!T124</f>
        <v>827.82</v>
      </c>
    </row>
    <row r="29" customFormat="false" ht="12.75" hidden="true" customHeight="true" outlineLevel="0" collapsed="false">
      <c r="B29" s="231" t="n">
        <f aca="false">SUM(D24:D28)</f>
        <v>11217.82</v>
      </c>
      <c r="C29" s="228"/>
      <c r="D29" s="192" t="n">
        <f aca="false">SUM(F24:F28)</f>
        <v>11217.82</v>
      </c>
      <c r="F29" s="221"/>
    </row>
    <row r="30" customFormat="false" ht="15.75" hidden="true" customHeight="true" outlineLevel="0" collapsed="false">
      <c r="B30" s="228"/>
      <c r="C30" s="228"/>
      <c r="F30" s="221"/>
    </row>
    <row r="31" customFormat="false" ht="15.75" hidden="true" customHeight="true" outlineLevel="0" collapsed="false">
      <c r="B31" s="228"/>
      <c r="C31" s="228"/>
      <c r="F31" s="221"/>
    </row>
    <row r="32" customFormat="false" ht="15.75" hidden="true" customHeight="true" outlineLevel="0" collapsed="false">
      <c r="B32" s="228" t="n">
        <f aca="false">100*E32/E$37</f>
        <v>-4.32347818025249</v>
      </c>
      <c r="C32" s="228" t="str">
        <f aca="false">A10</f>
        <v>Internt tillskott</v>
      </c>
      <c r="E32" s="220" t="n">
        <f aca="false">F32*F41/100</f>
        <v>-485</v>
      </c>
      <c r="F32" s="221" t="n">
        <f aca="false">B6</f>
        <v>1000</v>
      </c>
    </row>
    <row r="33" customFormat="false" ht="15.75" hidden="true" customHeight="true" outlineLevel="0" collapsed="false">
      <c r="B33" s="228" t="n">
        <f aca="false">100*E33/E$37</f>
        <v>-4.32347818025249</v>
      </c>
      <c r="C33" s="228" t="str">
        <f aca="false">A11</f>
        <v>Solinstrålning fönster</v>
      </c>
      <c r="E33" s="220" t="n">
        <f aca="false">F33*F41/100</f>
        <v>-485</v>
      </c>
      <c r="F33" s="221" t="n">
        <f aca="false">B7</f>
        <v>1000</v>
      </c>
      <c r="H33" s="192" t="n">
        <f aca="false">SUM(F32:F33)</f>
        <v>2000</v>
      </c>
    </row>
    <row r="34" customFormat="false" ht="15.75" hidden="true" customHeight="true" outlineLevel="0" collapsed="false">
      <c r="B34" s="228" t="n">
        <f aca="false">100*E34/E$37</f>
        <v>0</v>
      </c>
      <c r="C34" s="228" t="str">
        <f aca="false">A12</f>
        <v/>
      </c>
      <c r="E34" s="220" t="n">
        <f aca="false">F34</f>
        <v>0</v>
      </c>
      <c r="F34" s="221" t="n">
        <f aca="false">'Energibalansrapport proj'!T101</f>
        <v>0</v>
      </c>
      <c r="H34" s="192" t="n">
        <f aca="false">H26-H33</f>
        <v>5590</v>
      </c>
    </row>
    <row r="35" customFormat="false" ht="15.75" hidden="true" customHeight="true" outlineLevel="0" collapsed="false">
      <c r="B35" s="228" t="n">
        <f aca="false">100*E35/E$37</f>
        <v>60.7604686115484</v>
      </c>
      <c r="C35" s="228" t="str">
        <f aca="false">A13</f>
        <v>Jord/Berg -värmepump besparing @BEN</v>
      </c>
      <c r="E35" s="220" t="n">
        <f aca="false">F35</f>
        <v>6816</v>
      </c>
      <c r="F35" s="232" t="n">
        <f aca="false">'Energibalansrapport proj'!D63</f>
        <v>6816</v>
      </c>
      <c r="H35" s="192" t="n">
        <f aca="false">H34+F28+F27-E34</f>
        <v>9217.82</v>
      </c>
      <c r="K35" s="0" t="s">
        <v>193</v>
      </c>
    </row>
    <row r="36" customFormat="false" ht="15.75" hidden="true" customHeight="true" outlineLevel="0" collapsed="false">
      <c r="B36" s="228" t="n">
        <f aca="false">100*E36/E$37</f>
        <v>47.8864877489566</v>
      </c>
      <c r="C36" s="228" t="str">
        <f aca="false">A14</f>
        <v>Inköpt energi</v>
      </c>
      <c r="E36" s="220" t="n">
        <f aca="false">F36</f>
        <v>5371.82</v>
      </c>
      <c r="F36" s="229" t="n">
        <f aca="false">'Energibalansrapport proj'!D66</f>
        <v>5371.82</v>
      </c>
    </row>
    <row r="37" customFormat="false" ht="15.75" hidden="true" customHeight="true" outlineLevel="0" collapsed="false">
      <c r="E37" s="220" t="n">
        <f aca="false">SUM(E32:E36)</f>
        <v>11217.82</v>
      </c>
      <c r="F37" s="0" t="n">
        <f aca="false">SUM(F32:F36)</f>
        <v>14187.82</v>
      </c>
    </row>
    <row r="38" customFormat="false" ht="15.75" hidden="true" customHeight="true" outlineLevel="0" collapsed="false">
      <c r="F38" s="0" t="n">
        <f aca="false">F37-D29</f>
        <v>2970</v>
      </c>
    </row>
    <row r="39" customFormat="false" ht="15.75" hidden="true" customHeight="true" outlineLevel="0" collapsed="false">
      <c r="F39" s="0" t="n">
        <f aca="false">F38/(F32+F33)</f>
        <v>1.485</v>
      </c>
    </row>
    <row r="40" customFormat="false" ht="15.75" hidden="true" customHeight="true" outlineLevel="0" collapsed="false">
      <c r="F40" s="0" t="n">
        <f aca="false">1-F39</f>
        <v>-0.485</v>
      </c>
    </row>
    <row r="41" customFormat="false" ht="15.75" hidden="true" customHeight="true" outlineLevel="0" collapsed="false">
      <c r="E41" s="220" t="s">
        <v>194</v>
      </c>
      <c r="F41" s="221" t="n">
        <f aca="false">F40*100</f>
        <v>-48.5</v>
      </c>
    </row>
    <row r="42" customFormat="false" ht="5.25" hidden="false" customHeight="true" outlineLevel="0" collapsed="false"/>
    <row r="59" customFormat="false" ht="12.75" hidden="false" customHeight="true" outlineLevel="0" collapsed="false">
      <c r="A59" s="192"/>
    </row>
    <row r="61" customFormat="false" ht="12.75" hidden="false" customHeight="true" outlineLevel="0" collapsed="false">
      <c r="N61" s="68"/>
      <c r="O61" s="68"/>
      <c r="P61" s="68"/>
      <c r="Q61" s="68"/>
      <c r="R61" s="68"/>
      <c r="S61" s="68"/>
      <c r="T61" s="68"/>
    </row>
    <row r="62" customFormat="false" ht="12.75" hidden="false" customHeight="true" outlineLevel="0" collapsed="false">
      <c r="N62" s="68"/>
      <c r="O62" s="68"/>
      <c r="P62" s="68"/>
      <c r="Q62" s="68"/>
      <c r="R62" s="68"/>
      <c r="S62" s="68"/>
      <c r="T62" s="68"/>
    </row>
    <row r="63" customFormat="false" ht="12.75" hidden="false" customHeight="true" outlineLevel="0" collapsed="false">
      <c r="N63" s="68"/>
      <c r="O63" s="68"/>
      <c r="P63" s="68"/>
      <c r="Q63" s="68"/>
      <c r="R63" s="233"/>
      <c r="S63" s="233"/>
      <c r="T63" s="68"/>
    </row>
    <row r="64" customFormat="false" ht="12.75" hidden="false" customHeight="true" outlineLevel="0" collapsed="false">
      <c r="N64" s="68"/>
      <c r="O64" s="68"/>
      <c r="P64" s="68"/>
      <c r="Q64" s="68"/>
      <c r="R64" s="234"/>
      <c r="S64" s="68"/>
      <c r="T64" s="68"/>
    </row>
    <row r="65" customFormat="false" ht="12.75" hidden="false" customHeight="true" outlineLevel="0" collapsed="false">
      <c r="N65" s="68"/>
      <c r="O65" s="68"/>
      <c r="P65" s="68"/>
      <c r="Q65" s="68"/>
      <c r="R65" s="68"/>
      <c r="S65" s="68"/>
      <c r="T65" s="68"/>
    </row>
    <row r="66" customFormat="false" ht="12.75" hidden="false" customHeight="true" outlineLevel="0" collapsed="false">
      <c r="N66" s="68"/>
      <c r="O66" s="68"/>
      <c r="P66" s="68"/>
      <c r="Q66" s="68"/>
      <c r="R66" s="68"/>
      <c r="S66" s="68"/>
      <c r="T66" s="68"/>
    </row>
    <row r="67" customFormat="false" ht="12.75" hidden="false" customHeight="true" outlineLevel="0" collapsed="false">
      <c r="N67" s="68"/>
      <c r="O67" s="68"/>
      <c r="P67" s="68"/>
      <c r="Q67" s="68"/>
      <c r="R67" s="235"/>
      <c r="S67" s="68"/>
      <c r="T67" s="68"/>
    </row>
    <row r="68" customFormat="false" ht="12.75" hidden="false" customHeight="true" outlineLevel="0" collapsed="false">
      <c r="N68" s="68"/>
      <c r="O68" s="68"/>
      <c r="P68" s="68"/>
      <c r="Q68" s="68"/>
      <c r="R68" s="68"/>
      <c r="S68" s="68"/>
      <c r="T68" s="68"/>
    </row>
    <row r="69" customFormat="false" ht="12.75" hidden="false" customHeight="true" outlineLevel="0" collapsed="false">
      <c r="N69" s="68"/>
      <c r="O69" s="68"/>
      <c r="P69" s="68"/>
      <c r="Q69" s="68"/>
      <c r="R69" s="68"/>
      <c r="S69" s="68"/>
      <c r="T69" s="68"/>
    </row>
    <row r="70" customFormat="false" ht="12.75" hidden="false" customHeight="true" outlineLevel="0" collapsed="false">
      <c r="N70" s="68"/>
      <c r="O70" s="68"/>
      <c r="P70" s="68"/>
      <c r="Q70" s="68"/>
      <c r="R70" s="234"/>
      <c r="S70" s="68"/>
      <c r="T70" s="68"/>
    </row>
    <row r="71" customFormat="false" ht="12.75" hidden="false" customHeight="true" outlineLevel="0" collapsed="false">
      <c r="N71" s="68"/>
      <c r="O71" s="68"/>
      <c r="P71" s="68"/>
      <c r="Q71" s="68"/>
      <c r="R71" s="234"/>
      <c r="S71" s="68"/>
      <c r="T71" s="68"/>
    </row>
    <row r="72" customFormat="false" ht="12.75" hidden="false" customHeight="true" outlineLevel="0" collapsed="false">
      <c r="N72" s="68"/>
      <c r="O72" s="68"/>
      <c r="P72" s="68"/>
      <c r="Q72" s="68"/>
      <c r="R72" s="234"/>
      <c r="S72" s="68"/>
      <c r="T72" s="68"/>
    </row>
    <row r="73" customFormat="false" ht="12.75" hidden="false" customHeight="true" outlineLevel="0" collapsed="false">
      <c r="N73" s="68"/>
      <c r="O73" s="68"/>
      <c r="P73" s="68"/>
      <c r="Q73" s="68"/>
      <c r="R73" s="234"/>
      <c r="S73" s="68"/>
      <c r="T73" s="68"/>
    </row>
    <row r="74" customFormat="false" ht="12.75" hidden="false" customHeight="true" outlineLevel="0" collapsed="false">
      <c r="N74" s="68"/>
      <c r="O74" s="68"/>
      <c r="P74" s="68"/>
      <c r="Q74" s="68"/>
      <c r="R74" s="234"/>
      <c r="S74" s="68"/>
      <c r="T74" s="68"/>
    </row>
    <row r="75" customFormat="false" ht="12.75" hidden="false" customHeight="true" outlineLevel="0" collapsed="false">
      <c r="N75" s="68"/>
      <c r="O75" s="68"/>
      <c r="P75" s="68"/>
      <c r="Q75" s="68"/>
      <c r="R75" s="234"/>
      <c r="S75" s="68"/>
      <c r="T75" s="68"/>
    </row>
    <row r="76" customFormat="false" ht="12.75" hidden="false" customHeight="true" outlineLevel="0" collapsed="false">
      <c r="N76" s="68"/>
      <c r="O76" s="68"/>
      <c r="P76" s="68"/>
      <c r="Q76" s="68"/>
      <c r="R76" s="234"/>
      <c r="S76" s="68"/>
      <c r="T76" s="68"/>
    </row>
    <row r="77" customFormat="false" ht="12.75" hidden="false" customHeight="true" outlineLevel="0" collapsed="false">
      <c r="N77" s="68"/>
      <c r="O77" s="68"/>
      <c r="P77" s="68"/>
      <c r="Q77" s="68"/>
      <c r="R77" s="68"/>
      <c r="S77" s="68"/>
      <c r="T77" s="68"/>
    </row>
    <row r="78" customFormat="false" ht="12.75" hidden="false" customHeight="true" outlineLevel="0" collapsed="false">
      <c r="N78" s="68"/>
      <c r="O78" s="236"/>
      <c r="P78" s="68"/>
      <c r="Q78" s="68"/>
      <c r="R78" s="68"/>
      <c r="S78" s="68"/>
      <c r="T78" s="68"/>
    </row>
    <row r="79" customFormat="false" ht="12.75" hidden="false" customHeight="true" outlineLevel="0" collapsed="false">
      <c r="N79" s="68"/>
      <c r="O79" s="68"/>
      <c r="P79" s="237"/>
      <c r="Q79" s="68"/>
      <c r="R79" s="238"/>
      <c r="S79" s="68"/>
      <c r="T79" s="68"/>
    </row>
    <row r="80" customFormat="false" ht="12.75" hidden="false" customHeight="true" outlineLevel="0" collapsed="false">
      <c r="N80" s="68"/>
      <c r="O80" s="68"/>
      <c r="P80" s="68"/>
      <c r="Q80" s="68"/>
      <c r="R80" s="239"/>
      <c r="S80" s="68"/>
      <c r="T80" s="68"/>
    </row>
    <row r="81" customFormat="false" ht="12.75" hidden="false" customHeight="true" outlineLevel="0" collapsed="false">
      <c r="N81" s="68"/>
      <c r="O81" s="68"/>
      <c r="P81" s="68"/>
      <c r="Q81" s="68"/>
      <c r="R81" s="234"/>
      <c r="S81" s="68"/>
      <c r="T81" s="68"/>
    </row>
    <row r="82" customFormat="false" ht="12.75" hidden="false" customHeight="true" outlineLevel="0" collapsed="false">
      <c r="N82" s="68"/>
      <c r="O82" s="68"/>
      <c r="P82" s="68"/>
      <c r="Q82" s="68"/>
      <c r="R82" s="234"/>
      <c r="S82" s="68"/>
      <c r="T82" s="68"/>
    </row>
    <row r="83" customFormat="false" ht="12.75" hidden="false" customHeight="true" outlineLevel="0" collapsed="false">
      <c r="N83" s="68"/>
      <c r="O83" s="68"/>
      <c r="P83" s="68"/>
      <c r="Q83" s="68"/>
      <c r="R83" s="234"/>
      <c r="S83" s="68"/>
      <c r="T83" s="68"/>
    </row>
    <row r="84" customFormat="false" ht="12.75" hidden="false" customHeight="true" outlineLevel="0" collapsed="false">
      <c r="N84" s="68"/>
      <c r="O84" s="68"/>
      <c r="P84" s="68"/>
      <c r="Q84" s="68"/>
      <c r="R84" s="68"/>
      <c r="S84" s="68"/>
      <c r="T84" s="68"/>
    </row>
    <row r="85" customFormat="false" ht="12.75" hidden="false" customHeight="true" outlineLevel="0" collapsed="false">
      <c r="N85" s="68"/>
      <c r="O85" s="68"/>
      <c r="P85" s="68"/>
      <c r="Q85" s="68"/>
      <c r="R85" s="68"/>
      <c r="S85" s="68"/>
      <c r="T85" s="68"/>
    </row>
    <row r="86" customFormat="false" ht="12.75" hidden="false" customHeight="true" outlineLevel="0" collapsed="false">
      <c r="N86" s="68"/>
      <c r="O86" s="68"/>
      <c r="P86" s="68"/>
      <c r="Q86" s="68"/>
      <c r="R86" s="68"/>
      <c r="S86" s="68"/>
      <c r="T86" s="68"/>
    </row>
    <row r="87" customFormat="false" ht="12.75" hidden="false" customHeight="true" outlineLevel="0" collapsed="false">
      <c r="N87" s="68"/>
      <c r="O87" s="68"/>
      <c r="P87" s="68"/>
      <c r="Q87" s="68"/>
      <c r="R87" s="68"/>
      <c r="S87" s="68"/>
      <c r="T87" s="68"/>
    </row>
  </sheetData>
  <dataValidations count="4">
    <dataValidation allowBlank="true" errorStyle="stop" operator="equal" prompt="Data från EnergyCalc beräkning." showDropDown="false" showErrorMessage="true" showInputMessage="true" sqref="B3" type="none">
      <formula1>0</formula1>
      <formula2>0</formula2>
    </dataValidation>
    <dataValidation allowBlank="true" errorStyle="stop" operator="equal" prompt="Data från beräkning med EnegyCalc" showDropDown="false" showErrorMessage="true" showInputMessage="true" sqref="B4 B6:B7" type="none">
      <formula1>0</formula1>
      <formula2>0</formula2>
    </dataValidation>
    <dataValidation allowBlank="true" errorStyle="stop" operator="equal" prompt="Data från beräkning med EnegyCalcv" showDropDown="false" showErrorMessage="true" showInputMessage="true" sqref="B5" type="none">
      <formula1>0</formula1>
      <formula2>0</formula2>
    </dataValidation>
    <dataValidation allowBlank="true" errorStyle="stop" operator="between" prompt="Texten ändras på proj sidan" promptTitle="Text gratienergi" showDropDown="false" showErrorMessage="true" showInputMessage="true" sqref="A12" type="none">
      <formula1>0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8" activeCellId="0" sqref="A1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90" width="45.99"/>
    <col collapsed="false" customWidth="true" hidden="false" outlineLevel="0" max="2" min="2" style="79" width="10.71"/>
    <col collapsed="false" customWidth="true" hidden="false" outlineLevel="0" max="3" min="3" style="184" width="13.01"/>
    <col collapsed="false" customWidth="true" hidden="false" outlineLevel="0" max="4" min="4" style="184" width="14.01"/>
    <col collapsed="false" customWidth="true" hidden="true" outlineLevel="0" max="5" min="5" style="184" width="8.71"/>
    <col collapsed="false" customWidth="true" hidden="false" outlineLevel="0" max="6" min="6" style="0" width="16.71"/>
  </cols>
  <sheetData>
    <row r="1" customFormat="false" ht="15" hidden="false" customHeight="true" outlineLevel="0" collapsed="false">
      <c r="A1" s="240" t="n">
        <f aca="false">'Energibalansrapport proj'!C3</f>
        <v>0</v>
      </c>
    </row>
    <row r="2" customFormat="false" ht="12.75" hidden="false" customHeight="true" outlineLevel="0" collapsed="false">
      <c r="A2" s="241" t="s">
        <v>195</v>
      </c>
      <c r="B2" s="241"/>
    </row>
    <row r="3" customFormat="false" ht="18" hidden="false" customHeight="true" outlineLevel="0" collapsed="false">
      <c r="A3" s="241" t="s">
        <v>196</v>
      </c>
      <c r="B3" s="242"/>
      <c r="C3" s="243" t="s">
        <v>91</v>
      </c>
    </row>
    <row r="4" customFormat="false" ht="24" hidden="true" customHeight="true" outlineLevel="0" collapsed="false">
      <c r="A4" s="90" t="s">
        <v>197</v>
      </c>
      <c r="B4" s="244" t="s">
        <v>198</v>
      </c>
      <c r="C4" s="184" t="s">
        <v>199</v>
      </c>
      <c r="D4" s="184" t="s">
        <v>200</v>
      </c>
      <c r="E4" s="245" t="s">
        <v>201</v>
      </c>
    </row>
    <row r="5" customFormat="false" ht="12.75" hidden="true" customHeight="false" outlineLevel="0" collapsed="false">
      <c r="A5" s="90" t="s">
        <v>202</v>
      </c>
    </row>
    <row r="6" customFormat="false" ht="15" hidden="true" customHeight="false" outlineLevel="0" collapsed="false">
      <c r="A6" s="246" t="s">
        <v>203</v>
      </c>
      <c r="C6" s="184" t="n">
        <v>12</v>
      </c>
      <c r="D6" s="184" t="n">
        <v>0</v>
      </c>
      <c r="E6" s="245" t="n">
        <f aca="false">D6*C6</f>
        <v>0</v>
      </c>
    </row>
    <row r="7" customFormat="false" ht="15" hidden="true" customHeight="false" outlineLevel="0" collapsed="false">
      <c r="A7" s="246" t="n">
        <v>2</v>
      </c>
      <c r="D7" s="184" t="n">
        <v>0</v>
      </c>
      <c r="E7" s="245" t="n">
        <f aca="false">D7*C7</f>
        <v>0</v>
      </c>
    </row>
    <row r="8" customFormat="false" ht="15" hidden="true" customHeight="false" outlineLevel="0" collapsed="false">
      <c r="A8" s="246" t="n">
        <v>3</v>
      </c>
      <c r="D8" s="184" t="n">
        <v>0</v>
      </c>
      <c r="E8" s="245" t="n">
        <f aca="false">D8*C8</f>
        <v>0</v>
      </c>
    </row>
    <row r="9" customFormat="false" ht="15" hidden="true" customHeight="false" outlineLevel="0" collapsed="false">
      <c r="A9" s="246" t="n">
        <v>4</v>
      </c>
      <c r="D9" s="184" t="n">
        <v>0</v>
      </c>
      <c r="E9" s="245" t="n">
        <f aca="false">D9*C9</f>
        <v>0</v>
      </c>
    </row>
    <row r="10" customFormat="false" ht="15" hidden="true" customHeight="false" outlineLevel="0" collapsed="false">
      <c r="A10" s="246" t="n">
        <v>5</v>
      </c>
      <c r="D10" s="184" t="n">
        <v>0</v>
      </c>
      <c r="E10" s="245" t="n">
        <f aca="false">D10*C10</f>
        <v>0</v>
      </c>
    </row>
    <row r="11" customFormat="false" ht="15" hidden="true" customHeight="false" outlineLevel="0" collapsed="false">
      <c r="A11" s="246" t="n">
        <v>6</v>
      </c>
      <c r="B11" s="247"/>
      <c r="C11" s="248"/>
      <c r="D11" s="249"/>
      <c r="E11" s="250" t="n">
        <f aca="false">SUM(E6:E10)</f>
        <v>0</v>
      </c>
    </row>
    <row r="12" customFormat="false" ht="21.75" hidden="true" customHeight="true" outlineLevel="0" collapsed="false">
      <c r="A12" s="90" t="s">
        <v>204</v>
      </c>
      <c r="E12" s="245" t="n">
        <f aca="false">E11</f>
        <v>0</v>
      </c>
    </row>
    <row r="13" customFormat="false" ht="16.5" hidden="false" customHeight="true" outlineLevel="0" collapsed="false">
      <c r="A13" s="90" t="s">
        <v>205</v>
      </c>
    </row>
    <row r="14" customFormat="false" ht="25.5" hidden="false" customHeight="false" outlineLevel="0" collapsed="false">
      <c r="A14" s="251" t="s">
        <v>206</v>
      </c>
      <c r="B14" s="252"/>
      <c r="C14" s="191" t="s">
        <v>207</v>
      </c>
      <c r="D14" s="253" t="s">
        <v>208</v>
      </c>
      <c r="E14" s="191" t="s">
        <v>209</v>
      </c>
    </row>
    <row r="15" customFormat="false" ht="12.75" hidden="false" customHeight="false" outlineLevel="0" collapsed="false">
      <c r="A15" s="190" t="s">
        <v>210</v>
      </c>
      <c r="B15" s="254" t="n">
        <v>12</v>
      </c>
      <c r="C15" s="191"/>
      <c r="D15" s="255"/>
      <c r="E15" s="191"/>
    </row>
    <row r="16" customFormat="false" ht="12.75" hidden="false" customHeight="false" outlineLevel="0" collapsed="false">
      <c r="A16" s="190" t="s">
        <v>211</v>
      </c>
      <c r="B16" s="254" t="n">
        <f aca="false">5/7*365*48/52</f>
        <v>240.659340659341</v>
      </c>
      <c r="C16" s="191"/>
      <c r="D16" s="255"/>
      <c r="E16" s="191"/>
    </row>
    <row r="17" customFormat="false" ht="26.25" hidden="false" customHeight="true" outlineLevel="0" collapsed="false">
      <c r="A17" s="190" t="s">
        <v>212</v>
      </c>
      <c r="B17" s="254" t="n">
        <v>7</v>
      </c>
      <c r="C17" s="256" t="n">
        <f aca="false">B37</f>
        <v>1261</v>
      </c>
      <c r="D17" s="257"/>
      <c r="E17" s="258" t="n">
        <f aca="false">C17*B17</f>
        <v>8827</v>
      </c>
    </row>
    <row r="18" customFormat="false" ht="26.25" hidden="false" customHeight="true" outlineLevel="0" collapsed="false">
      <c r="A18" s="190" t="s">
        <v>213</v>
      </c>
      <c r="B18" s="254" t="n">
        <v>0</v>
      </c>
      <c r="C18" s="256" t="n">
        <f aca="false">B37</f>
        <v>1261</v>
      </c>
      <c r="D18" s="257"/>
      <c r="E18" s="258" t="n">
        <f aca="false">C18*B18</f>
        <v>0</v>
      </c>
    </row>
    <row r="19" customFormat="false" ht="12.75" hidden="false" customHeight="false" outlineLevel="0" collapsed="false">
      <c r="A19" s="190" t="s">
        <v>214</v>
      </c>
      <c r="B19" s="252"/>
      <c r="C19" s="191"/>
      <c r="D19" s="259" t="n">
        <f aca="false">E19</f>
        <v>2910</v>
      </c>
      <c r="E19" s="191" t="n">
        <f aca="false">B25*E17+(1-B25)*E18</f>
        <v>2910</v>
      </c>
    </row>
    <row r="20" customFormat="false" ht="12.75" hidden="false" customHeight="false" outlineLevel="0" collapsed="false">
      <c r="A20" s="190" t="s">
        <v>215</v>
      </c>
      <c r="B20" s="254" t="n">
        <v>310</v>
      </c>
      <c r="C20" s="191"/>
      <c r="D20" s="255"/>
    </row>
    <row r="21" customFormat="false" ht="12.75" hidden="false" customHeight="false" outlineLevel="0" collapsed="false">
      <c r="A21" s="190" t="s">
        <v>216</v>
      </c>
      <c r="B21" s="252" t="n">
        <v>140</v>
      </c>
      <c r="C21" s="191"/>
      <c r="D21" s="255"/>
    </row>
    <row r="22" customFormat="false" ht="12.75" hidden="false" customHeight="false" outlineLevel="0" collapsed="false">
      <c r="A22" s="190" t="s">
        <v>217</v>
      </c>
      <c r="B22" s="252" t="n">
        <f aca="false">B20/B21</f>
        <v>2.21428571428571</v>
      </c>
      <c r="C22" s="191"/>
      <c r="D22" s="255"/>
    </row>
    <row r="23" customFormat="false" ht="12.75" hidden="false" customHeight="false" outlineLevel="0" collapsed="false">
      <c r="A23" s="260" t="s">
        <v>218</v>
      </c>
      <c r="B23" s="252" t="n">
        <f aca="false">B22*B38/1000</f>
        <v>2.15228571428571</v>
      </c>
      <c r="C23" s="191"/>
      <c r="D23" s="255"/>
    </row>
    <row r="24" customFormat="false" ht="12.75" hidden="false" customHeight="false" outlineLevel="0" collapsed="false">
      <c r="A24" s="190" t="s">
        <v>219</v>
      </c>
      <c r="B24" s="252" t="n">
        <f aca="false">B15</f>
        <v>12</v>
      </c>
      <c r="C24" s="191"/>
      <c r="D24" s="255"/>
    </row>
    <row r="25" customFormat="false" ht="12.75" hidden="false" customHeight="false" outlineLevel="0" collapsed="false">
      <c r="A25" s="190" t="s">
        <v>220</v>
      </c>
      <c r="B25" s="252" t="n">
        <f aca="false">(B15/24)*(B16/365)</f>
        <v>0.32967032967033</v>
      </c>
      <c r="C25" s="191"/>
      <c r="D25" s="255"/>
    </row>
    <row r="26" customFormat="false" ht="12.75" hidden="false" customHeight="false" outlineLevel="0" collapsed="false">
      <c r="A26" s="190" t="s">
        <v>221</v>
      </c>
      <c r="B26" s="252" t="n">
        <f aca="false">B25*B23*1000/1000</f>
        <v>0.709544740973312</v>
      </c>
      <c r="C26" s="261"/>
      <c r="D26" s="253" t="n">
        <f aca="false">B26</f>
        <v>0.709544740973312</v>
      </c>
    </row>
    <row r="27" customFormat="false" ht="12.75" hidden="false" customHeight="false" outlineLevel="0" collapsed="false">
      <c r="A27" s="190"/>
      <c r="B27" s="252"/>
      <c r="C27" s="191"/>
      <c r="D27" s="255"/>
    </row>
    <row r="28" customFormat="false" ht="12.75" hidden="false" customHeight="false" outlineLevel="0" collapsed="false">
      <c r="A28" s="260" t="s">
        <v>222</v>
      </c>
      <c r="B28" s="252" t="n">
        <v>108</v>
      </c>
      <c r="C28" s="191"/>
      <c r="D28" s="255"/>
    </row>
    <row r="29" customFormat="false" ht="12.75" hidden="false" customHeight="false" outlineLevel="0" collapsed="false">
      <c r="A29" s="260" t="s">
        <v>223</v>
      </c>
      <c r="B29" s="254" t="n">
        <v>0</v>
      </c>
      <c r="C29" s="191"/>
      <c r="D29" s="255"/>
    </row>
    <row r="30" customFormat="false" ht="12.75" hidden="false" customHeight="false" outlineLevel="0" collapsed="false">
      <c r="A30" s="190" t="s">
        <v>224</v>
      </c>
      <c r="B30" s="254" t="n">
        <v>0.3</v>
      </c>
      <c r="C30" s="191"/>
      <c r="D30" s="255"/>
    </row>
    <row r="31" customFormat="false" ht="12.75" hidden="false" customHeight="false" outlineLevel="0" collapsed="false">
      <c r="A31" s="190" t="s">
        <v>225</v>
      </c>
      <c r="B31" s="254" t="n">
        <v>8</v>
      </c>
      <c r="C31" s="191"/>
      <c r="D31" s="255"/>
    </row>
    <row r="32" customFormat="false" ht="12.75" hidden="false" customHeight="false" outlineLevel="0" collapsed="false">
      <c r="A32" s="190" t="s">
        <v>226</v>
      </c>
      <c r="B32" s="254" t="n">
        <v>10</v>
      </c>
      <c r="C32" s="191"/>
      <c r="D32" s="255"/>
    </row>
    <row r="33" customFormat="false" ht="12.75" hidden="false" customHeight="false" outlineLevel="0" collapsed="false">
      <c r="A33" s="190" t="s">
        <v>227</v>
      </c>
      <c r="B33" s="252" t="n">
        <f aca="false">B29*B30+B31*B32</f>
        <v>80</v>
      </c>
      <c r="C33" s="191"/>
      <c r="D33" s="255"/>
    </row>
    <row r="34" customFormat="false" ht="25.5" hidden="false" customHeight="false" outlineLevel="0" collapsed="false">
      <c r="A34" s="190" t="s">
        <v>228</v>
      </c>
      <c r="B34" s="252" t="n">
        <f aca="false">(B33*5/7)/24</f>
        <v>2.38095238095238</v>
      </c>
      <c r="C34" s="191"/>
      <c r="D34" s="255"/>
    </row>
    <row r="35" customFormat="false" ht="12.75" hidden="false" customHeight="false" outlineLevel="0" collapsed="false">
      <c r="A35" s="190" t="s">
        <v>229</v>
      </c>
      <c r="B35" s="252" t="n">
        <f aca="false">B34*B28/1000</f>
        <v>0.257142857142857</v>
      </c>
      <c r="C35" s="256"/>
      <c r="D35" s="259" t="n">
        <f aca="false">B35*1000</f>
        <v>257.142857142857</v>
      </c>
    </row>
    <row r="36" customFormat="false" ht="12.75" hidden="false" customHeight="false" outlineLevel="0" collapsed="false">
      <c r="A36" s="251" t="s">
        <v>230</v>
      </c>
      <c r="B36" s="252"/>
      <c r="C36" s="191"/>
      <c r="D36" s="255"/>
    </row>
    <row r="37" customFormat="false" ht="12.75" hidden="false" customHeight="false" outlineLevel="0" collapsed="false">
      <c r="A37" s="90" t="s">
        <v>231</v>
      </c>
      <c r="B37" s="262" t="n">
        <v>1261</v>
      </c>
      <c r="C37" s="191"/>
      <c r="D37" s="255"/>
    </row>
    <row r="38" customFormat="false" ht="12.75" hidden="false" customHeight="false" outlineLevel="0" collapsed="false">
      <c r="A38" s="190" t="s">
        <v>232</v>
      </c>
      <c r="B38" s="254" t="n">
        <v>972</v>
      </c>
      <c r="C38" s="191"/>
      <c r="D38" s="255"/>
    </row>
    <row r="39" customFormat="false" ht="12.75" hidden="false" customHeight="false" outlineLevel="0" collapsed="false">
      <c r="A39" s="190" t="s">
        <v>233</v>
      </c>
      <c r="B39" s="254" t="n">
        <v>6.015</v>
      </c>
      <c r="C39" s="191"/>
      <c r="D39" s="255"/>
    </row>
    <row r="40" customFormat="false" ht="12.75" hidden="false" customHeight="false" outlineLevel="0" collapsed="false">
      <c r="A40" s="190" t="s">
        <v>234</v>
      </c>
      <c r="B40" s="252" t="n">
        <f aca="false">B39*B38</f>
        <v>5846.58</v>
      </c>
      <c r="C40" s="191"/>
      <c r="D40" s="255"/>
    </row>
    <row r="41" customFormat="false" ht="12.75" hidden="false" customHeight="false" outlineLevel="0" collapsed="false">
      <c r="A41" s="190" t="s">
        <v>235</v>
      </c>
      <c r="B41" s="254" t="n">
        <v>0.1</v>
      </c>
      <c r="C41" s="191"/>
      <c r="D41" s="255"/>
    </row>
    <row r="42" customFormat="false" ht="12.75" hidden="false" customHeight="false" outlineLevel="0" collapsed="false">
      <c r="A42" s="190" t="s">
        <v>236</v>
      </c>
      <c r="B42" s="263" t="n">
        <f aca="false">(B37*B43*3.6)/B40</f>
        <v>1.2500908223269</v>
      </c>
      <c r="C42" s="191"/>
      <c r="D42" s="255"/>
    </row>
    <row r="43" customFormat="false" ht="25.5" hidden="false" customHeight="false" outlineLevel="0" collapsed="false">
      <c r="A43" s="190" t="s">
        <v>237</v>
      </c>
      <c r="B43" s="264" t="n">
        <v>1.61</v>
      </c>
      <c r="C43" s="191" t="s">
        <v>238</v>
      </c>
      <c r="D43" s="255"/>
    </row>
    <row r="44" customFormat="false" ht="12.75" hidden="false" customHeight="false" outlineLevel="0" collapsed="false">
      <c r="A44" s="189" t="s">
        <v>239</v>
      </c>
      <c r="B44" s="252" t="n">
        <f aca="false">(B24)*5/7</f>
        <v>8.57142857142857</v>
      </c>
      <c r="C44" s="256"/>
      <c r="D44" s="255"/>
    </row>
    <row r="45" customFormat="false" ht="12.75" hidden="false" customHeight="false" outlineLevel="0" collapsed="false">
      <c r="A45" s="190" t="s">
        <v>240</v>
      </c>
      <c r="B45" s="252"/>
      <c r="C45" s="256"/>
      <c r="D45" s="265" t="n">
        <f aca="false">(B44/24)*B43+((24-B44)/24)*B41</f>
        <v>0.639285714285714</v>
      </c>
    </row>
    <row r="46" customFormat="false" ht="25.5" hidden="false" customHeight="false" outlineLevel="0" collapsed="false">
      <c r="A46" s="90" t="s">
        <v>241</v>
      </c>
      <c r="B46" s="244" t="n">
        <f aca="false">B43*B25+0.35</f>
        <v>0.880769230769231</v>
      </c>
      <c r="C46" s="79"/>
    </row>
    <row r="47" customFormat="false" ht="25.5" hidden="false" customHeight="false" outlineLevel="0" collapsed="false">
      <c r="A47" s="266" t="s">
        <v>242</v>
      </c>
      <c r="B47" s="244" t="s">
        <v>243</v>
      </c>
      <c r="C47" s="184" t="s">
        <v>244</v>
      </c>
      <c r="D47" s="184" t="s">
        <v>245</v>
      </c>
    </row>
    <row r="48" customFormat="false" ht="12.75" hidden="false" customHeight="false" outlineLevel="0" collapsed="false">
      <c r="A48" s="90" t="s">
        <v>246</v>
      </c>
      <c r="B48" s="267" t="n">
        <f aca="false">22+20</f>
        <v>42</v>
      </c>
      <c r="C48" s="184" t="n">
        <v>1.5</v>
      </c>
      <c r="D48" s="268" t="n">
        <f aca="false">C48*B48</f>
        <v>63</v>
      </c>
    </row>
    <row r="49" customFormat="false" ht="12.75" hidden="false" customHeight="false" outlineLevel="0" collapsed="false">
      <c r="A49" s="90" t="s">
        <v>247</v>
      </c>
      <c r="B49" s="267" t="n">
        <v>20</v>
      </c>
      <c r="C49" s="184" t="n">
        <v>5</v>
      </c>
      <c r="D49" s="268" t="n">
        <f aca="false">C49*B49</f>
        <v>100</v>
      </c>
    </row>
    <row r="50" customFormat="false" ht="12.75" hidden="false" customHeight="false" outlineLevel="0" collapsed="false">
      <c r="A50" s="90" t="s">
        <v>248</v>
      </c>
      <c r="B50" s="267" t="n">
        <v>8.5</v>
      </c>
      <c r="C50" s="184" t="n">
        <v>0.35</v>
      </c>
      <c r="D50" s="268" t="n">
        <f aca="false">C50*B50</f>
        <v>2.975</v>
      </c>
    </row>
    <row r="51" customFormat="false" ht="12.75" hidden="false" customHeight="false" outlineLevel="0" collapsed="false">
      <c r="A51" s="90" t="s">
        <v>249</v>
      </c>
      <c r="B51" s="267" t="n">
        <v>16</v>
      </c>
      <c r="C51" s="184" t="n">
        <v>5</v>
      </c>
      <c r="D51" s="268" t="n">
        <f aca="false">C51*B51</f>
        <v>80</v>
      </c>
    </row>
    <row r="52" customFormat="false" ht="12.75" hidden="false" customHeight="false" outlineLevel="0" collapsed="false">
      <c r="A52" s="90" t="s">
        <v>250</v>
      </c>
      <c r="B52" s="267" t="n">
        <f aca="false">6+11</f>
        <v>17</v>
      </c>
      <c r="C52" s="184" t="n">
        <v>3</v>
      </c>
      <c r="D52" s="268" t="n">
        <f aca="false">C52*B52</f>
        <v>51</v>
      </c>
    </row>
    <row r="53" customFormat="false" ht="12.75" hidden="false" customHeight="false" outlineLevel="0" collapsed="false">
      <c r="A53" s="90" t="s">
        <v>251</v>
      </c>
      <c r="B53" s="267" t="n">
        <f aca="false">1261-SUM(B48:B52)</f>
        <v>1157.5</v>
      </c>
      <c r="C53" s="184" t="n">
        <v>1.5</v>
      </c>
      <c r="D53" s="268" t="n">
        <f aca="false">C53*B53</f>
        <v>1736.25</v>
      </c>
    </row>
    <row r="54" customFormat="false" ht="12.75" hidden="false" customHeight="false" outlineLevel="0" collapsed="false">
      <c r="A54" s="90" t="s">
        <v>252</v>
      </c>
      <c r="B54" s="244" t="n">
        <f aca="false">SUM(B48:B53)</f>
        <v>1261</v>
      </c>
      <c r="D54" s="244" t="n">
        <f aca="false">SUM(D48:D53)</f>
        <v>2033.225</v>
      </c>
    </row>
    <row r="55" customFormat="false" ht="12.75" hidden="false" customHeight="false" outlineLevel="0" collapsed="false">
      <c r="A55" s="90" t="s">
        <v>253</v>
      </c>
      <c r="D55" s="269" t="n">
        <f aca="false">D54/B54</f>
        <v>1.61239095955591</v>
      </c>
    </row>
    <row r="56" customFormat="false" ht="25.5" hidden="false" customHeight="false" outlineLevel="0" collapsed="false">
      <c r="A56" s="266" t="s">
        <v>254</v>
      </c>
      <c r="B56" s="244" t="s">
        <v>255</v>
      </c>
      <c r="C56" s="184" t="s">
        <v>256</v>
      </c>
      <c r="D56" s="184" t="s">
        <v>257</v>
      </c>
    </row>
    <row r="57" customFormat="false" ht="12.75" hidden="false" customHeight="false" outlineLevel="0" collapsed="false">
      <c r="A57" s="90" t="s">
        <v>258</v>
      </c>
      <c r="B57" s="267" t="n">
        <v>22</v>
      </c>
      <c r="C57" s="270" t="n">
        <f aca="false">22+90+4.9*5.5+6+5*2.5</f>
        <v>157.45</v>
      </c>
      <c r="D57" s="184" t="n">
        <f aca="false">C57*B57</f>
        <v>3463.9</v>
      </c>
    </row>
    <row r="58" customFormat="false" ht="12.75" hidden="false" customHeight="false" outlineLevel="0" collapsed="false">
      <c r="A58" s="90" t="s">
        <v>259</v>
      </c>
      <c r="B58" s="267" t="n">
        <v>17</v>
      </c>
      <c r="C58" s="270" t="n">
        <f aca="false">2924-C57</f>
        <v>2766.55</v>
      </c>
      <c r="D58" s="184" t="n">
        <f aca="false">C58*B58</f>
        <v>47031.35</v>
      </c>
    </row>
    <row r="59" customFormat="false" ht="12.75" hidden="false" customHeight="false" outlineLevel="0" collapsed="false">
      <c r="A59" s="90" t="s">
        <v>252</v>
      </c>
      <c r="B59" s="271" t="n">
        <f aca="false">D59/C59</f>
        <v>17.2692373461012</v>
      </c>
      <c r="C59" s="184" t="n">
        <f aca="false">C57+C58</f>
        <v>2924</v>
      </c>
      <c r="D59" s="184" t="n">
        <f aca="false">D57+D58</f>
        <v>50495.25</v>
      </c>
    </row>
    <row r="70" customFormat="false" ht="12.75" hidden="false" customHeight="false" outlineLevel="0" collapsed="false">
      <c r="A70" s="111" t="s">
        <v>91</v>
      </c>
    </row>
    <row r="71" customFormat="false" ht="12.75" hidden="false" customHeight="false" outlineLevel="0" collapsed="false">
      <c r="A71" s="111" t="s">
        <v>93</v>
      </c>
    </row>
    <row r="72" customFormat="false" ht="12.75" hidden="false" customHeight="false" outlineLevel="0" collapsed="false">
      <c r="A72" s="111" t="s">
        <v>94</v>
      </c>
    </row>
    <row r="73" customFormat="false" ht="12.75" hidden="false" customHeight="false" outlineLevel="0" collapsed="false">
      <c r="A73" s="111" t="s">
        <v>95</v>
      </c>
    </row>
    <row r="74" customFormat="false" ht="12.75" hidden="false" customHeight="false" outlineLevel="0" collapsed="false">
      <c r="A74" s="111" t="s">
        <v>96</v>
      </c>
    </row>
    <row r="75" customFormat="false" ht="12.75" hidden="false" customHeight="false" outlineLevel="0" collapsed="false">
      <c r="A75" s="111" t="s">
        <v>97</v>
      </c>
    </row>
  </sheetData>
  <mergeCells count="1">
    <mergeCell ref="A2:B2"/>
  </mergeCells>
  <dataValidations count="1">
    <dataValidation allowBlank="true" errorStyle="stop" operator="between" showDropDown="false" showErrorMessage="true" showInputMessage="true" sqref="C3" type="list">
      <formula1>$A$70:$A$75</formula1>
      <formula2>0</formula2>
    </dataValidation>
  </dataValidations>
  <printOptions headings="false" gridLines="false" gridLinesSet="true" horizontalCentered="false" verticalCentered="false"/>
  <pageMargins left="0.7" right="0.109722222222222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H63"/>
  <sheetViews>
    <sheetView showFormulas="false" showGridLines="true" showRowColHeaders="true" showZeros="true" rightToLeft="false" tabSelected="false" showOutlineSymbols="true" defaultGridColor="true" view="normal" topLeftCell="B1" colorId="64" zoomScale="125" zoomScaleNormal="125" zoomScalePageLayoutView="100" workbookViewId="0">
      <selection pane="topLeft" activeCell="AA174" activeCellId="0" sqref="AA17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90" width="35.42"/>
    <col collapsed="false" customWidth="false" hidden="false" outlineLevel="0" max="3" min="3" style="272" width="11.42"/>
    <col collapsed="false" customWidth="true" hidden="false" outlineLevel="0" max="4" min="4" style="184" width="16.71"/>
    <col collapsed="false" customWidth="false" hidden="false" outlineLevel="0" max="5" min="5" style="273" width="11.42"/>
    <col collapsed="false" customWidth="false" hidden="true" outlineLevel="0" max="6" min="6" style="273" width="11.42"/>
    <col collapsed="false" customWidth="true" hidden="false" outlineLevel="0" max="7" min="7" style="90" width="15.15"/>
    <col collapsed="false" customWidth="false" hidden="false" outlineLevel="0" max="1024" min="8" style="90" width="11.42"/>
  </cols>
  <sheetData>
    <row r="1" customFormat="false" ht="30.75" hidden="false" customHeight="true" outlineLevel="0" collapsed="false">
      <c r="B1" s="274" t="s">
        <v>260</v>
      </c>
      <c r="C1" s="274"/>
      <c r="D1" s="274"/>
    </row>
    <row r="2" customFormat="false" ht="24" hidden="false" customHeight="true" outlineLevel="0" collapsed="false">
      <c r="B2" s="275" t="n">
        <f aca="false">'Energibalansrapport proj'!C3</f>
        <v>0</v>
      </c>
      <c r="C2" s="275"/>
      <c r="D2" s="275"/>
    </row>
    <row r="3" customFormat="false" ht="13.5" hidden="false" customHeight="true" outlineLevel="0" collapsed="false">
      <c r="B3" s="276" t="s">
        <v>261</v>
      </c>
      <c r="C3" s="277"/>
      <c r="G3" s="78"/>
      <c r="H3" s="78"/>
    </row>
    <row r="4" customFormat="false" ht="12.75" hidden="false" customHeight="false" outlineLevel="0" collapsed="false">
      <c r="B4" s="278" t="s">
        <v>262</v>
      </c>
      <c r="G4" s="78"/>
      <c r="H4" s="78"/>
    </row>
    <row r="5" customFormat="false" ht="12.75" hidden="false" customHeight="false" outlineLevel="0" collapsed="false">
      <c r="B5" s="279" t="s">
        <v>263</v>
      </c>
      <c r="G5" s="78"/>
      <c r="H5" s="78"/>
    </row>
    <row r="6" customFormat="false" ht="23.25" hidden="false" customHeight="true" outlineLevel="0" collapsed="false">
      <c r="B6" s="280" t="s">
        <v>264</v>
      </c>
      <c r="C6" s="280"/>
      <c r="D6" s="280"/>
      <c r="E6" s="281"/>
      <c r="F6" s="281"/>
      <c r="H6" s="78"/>
    </row>
    <row r="7" customFormat="false" ht="12.75" hidden="false" customHeight="false" outlineLevel="0" collapsed="false">
      <c r="B7" s="282" t="s">
        <v>265</v>
      </c>
      <c r="C7" s="283"/>
      <c r="D7" s="284" t="str">
        <f aca="false">'Indata Lokaler'!C3</f>
        <v>Småhus &gt;130 m2</v>
      </c>
      <c r="E7" s="285"/>
      <c r="F7" s="285" t="s">
        <v>266</v>
      </c>
      <c r="H7" s="78"/>
    </row>
    <row r="8" customFormat="false" ht="12.75" hidden="false" customHeight="false" outlineLevel="0" collapsed="false">
      <c r="B8" s="286" t="s">
        <v>267</v>
      </c>
      <c r="C8" s="287" t="s">
        <v>268</v>
      </c>
      <c r="D8" s="288" t="s">
        <v>269</v>
      </c>
      <c r="E8" s="285"/>
      <c r="F8" s="285"/>
      <c r="G8" s="78"/>
      <c r="H8" s="78"/>
    </row>
    <row r="9" customFormat="false" ht="12.75" hidden="false" customHeight="false" outlineLevel="0" collapsed="false">
      <c r="B9" s="282" t="s">
        <v>270</v>
      </c>
      <c r="C9" s="289"/>
      <c r="D9" s="290" t="n">
        <f aca="false">IF(OR(D7= "Flerbostadshus",D7= "Flerbostadshus lght &lt; 35 m2"),(IF((D8="ja"),22,21) ),(IF((OR(D7="Småhus &gt;130 m2",D7="Småhus &gt;90-130 m2",D7="Småhus 50-90 m2")),21,ROUND(('Indata Lokaler'!B59),1))))</f>
        <v>21</v>
      </c>
      <c r="E9" s="285"/>
      <c r="F9" s="285"/>
      <c r="G9" s="78"/>
      <c r="H9" s="78"/>
    </row>
    <row r="10" customFormat="false" ht="26.25" hidden="false" customHeight="false" outlineLevel="0" collapsed="false">
      <c r="B10" s="291" t="s">
        <v>271</v>
      </c>
      <c r="C10" s="289" t="s">
        <v>67</v>
      </c>
      <c r="D10" s="292"/>
      <c r="E10" s="293"/>
      <c r="F10" s="285" t="s">
        <v>272</v>
      </c>
      <c r="G10" s="78"/>
    </row>
    <row r="11" customFormat="false" ht="12.75" hidden="false" customHeight="false" outlineLevel="0" collapsed="false">
      <c r="B11" s="282" t="s">
        <v>273</v>
      </c>
      <c r="C11" s="287" t="s">
        <v>274</v>
      </c>
      <c r="D11" s="294" t="n">
        <v>0</v>
      </c>
      <c r="E11" s="285" t="n">
        <f aca="false">F11*D11</f>
        <v>0</v>
      </c>
      <c r="F11" s="285" t="n">
        <v>1.42</v>
      </c>
      <c r="G11" s="78"/>
    </row>
    <row r="12" customFormat="false" ht="12.75" hidden="false" customHeight="false" outlineLevel="0" collapsed="false">
      <c r="B12" s="282" t="s">
        <v>275</v>
      </c>
      <c r="C12" s="287" t="s">
        <v>274</v>
      </c>
      <c r="D12" s="294" t="n">
        <v>0</v>
      </c>
      <c r="E12" s="285" t="n">
        <f aca="false">F12*D12</f>
        <v>0</v>
      </c>
      <c r="F12" s="285" t="n">
        <v>1.63</v>
      </c>
      <c r="G12" s="78"/>
    </row>
    <row r="13" customFormat="false" ht="12.75" hidden="false" customHeight="false" outlineLevel="0" collapsed="false">
      <c r="B13" s="282" t="s">
        <v>276</v>
      </c>
      <c r="C13" s="287" t="s">
        <v>274</v>
      </c>
      <c r="D13" s="294" t="n">
        <v>0</v>
      </c>
      <c r="E13" s="285" t="n">
        <f aca="false">F13*D13</f>
        <v>0</v>
      </c>
      <c r="F13" s="285" t="n">
        <v>2.18</v>
      </c>
      <c r="G13" s="78"/>
    </row>
    <row r="14" customFormat="false" ht="12.75" hidden="false" customHeight="false" outlineLevel="0" collapsed="false">
      <c r="B14" s="282" t="s">
        <v>277</v>
      </c>
      <c r="C14" s="287" t="s">
        <v>274</v>
      </c>
      <c r="D14" s="294" t="n">
        <v>0</v>
      </c>
      <c r="E14" s="285" t="n">
        <f aca="false">F14*D14</f>
        <v>0</v>
      </c>
      <c r="F14" s="285" t="n">
        <v>2.79</v>
      </c>
    </row>
    <row r="15" customFormat="false" ht="12.75" hidden="false" customHeight="false" outlineLevel="0" collapsed="false">
      <c r="B15" s="282" t="s">
        <v>278</v>
      </c>
      <c r="C15" s="287" t="s">
        <v>274</v>
      </c>
      <c r="D15" s="294" t="n">
        <v>1</v>
      </c>
      <c r="E15" s="285" t="n">
        <f aca="false">F15*D15</f>
        <v>3.51</v>
      </c>
      <c r="F15" s="285" t="n">
        <v>3.51</v>
      </c>
    </row>
    <row r="16" customFormat="false" ht="12.75" hidden="false" customHeight="false" outlineLevel="0" collapsed="false">
      <c r="B16" s="286" t="s">
        <v>279</v>
      </c>
      <c r="C16" s="287"/>
      <c r="D16" s="295" t="n">
        <f aca="false">SUM(D11:D15)</f>
        <v>1</v>
      </c>
      <c r="E16" s="293"/>
      <c r="F16" s="293"/>
    </row>
    <row r="17" customFormat="false" ht="12.75" hidden="false" customHeight="false" outlineLevel="0" collapsed="false">
      <c r="B17" s="286" t="s">
        <v>280</v>
      </c>
      <c r="C17" s="287" t="s">
        <v>274</v>
      </c>
      <c r="D17" s="295" t="n">
        <f aca="false">SUM(E11:E15)</f>
        <v>3.51</v>
      </c>
      <c r="E17" s="293"/>
      <c r="F17" s="293"/>
    </row>
    <row r="18" customFormat="false" ht="12.75" hidden="false" customHeight="false" outlineLevel="0" collapsed="false">
      <c r="B18" s="282" t="s">
        <v>281</v>
      </c>
      <c r="C18" s="289" t="s">
        <v>282</v>
      </c>
      <c r="D18" s="295" t="n">
        <f aca="false">F18</f>
        <v>80</v>
      </c>
      <c r="E18" s="285"/>
      <c r="F18" s="285" t="n">
        <v>80</v>
      </c>
    </row>
    <row r="19" customFormat="false" ht="12.75" hidden="false" customHeight="false" outlineLevel="0" collapsed="false">
      <c r="B19" s="282" t="s">
        <v>283</v>
      </c>
      <c r="C19" s="289" t="s">
        <v>257</v>
      </c>
      <c r="D19" s="296" t="n">
        <f aca="false">F19</f>
        <v>0.583333333333333</v>
      </c>
      <c r="E19" s="285"/>
      <c r="F19" s="285" t="n">
        <f aca="false">14/24</f>
        <v>0.583333333333333</v>
      </c>
    </row>
    <row r="20" customFormat="false" ht="12.75" hidden="false" customHeight="false" outlineLevel="0" collapsed="false">
      <c r="B20" s="282" t="s">
        <v>284</v>
      </c>
      <c r="C20" s="289" t="s">
        <v>285</v>
      </c>
      <c r="D20" s="297" t="n">
        <f aca="false">D19*D18*D17</f>
        <v>163.8</v>
      </c>
      <c r="E20" s="285"/>
      <c r="F20" s="285"/>
    </row>
    <row r="21" customFormat="false" ht="12.75" hidden="false" customHeight="false" outlineLevel="0" collapsed="false">
      <c r="B21" s="282" t="s">
        <v>286</v>
      </c>
      <c r="C21" s="289" t="s">
        <v>15</v>
      </c>
      <c r="D21" s="294" t="n">
        <v>150</v>
      </c>
      <c r="E21" s="285"/>
      <c r="F21" s="285"/>
    </row>
    <row r="22" customFormat="false" ht="15" hidden="false" customHeight="true" outlineLevel="0" collapsed="false">
      <c r="B22" s="282" t="s">
        <v>287</v>
      </c>
      <c r="C22" s="289" t="s">
        <v>44</v>
      </c>
      <c r="D22" s="296" t="n">
        <f aca="false">D20/D21</f>
        <v>1.092</v>
      </c>
      <c r="E22" s="285"/>
      <c r="F22" s="285"/>
    </row>
    <row r="23" customFormat="false" ht="15.75" hidden="false" customHeight="true" outlineLevel="0" collapsed="false">
      <c r="B23" s="282" t="s">
        <v>288</v>
      </c>
      <c r="C23" s="289" t="s">
        <v>289</v>
      </c>
      <c r="D23" s="295" t="n">
        <v>0.35</v>
      </c>
      <c r="E23" s="285"/>
      <c r="F23" s="285"/>
    </row>
    <row r="24" customFormat="false" ht="15.75" hidden="false" customHeight="true" outlineLevel="0" collapsed="false">
      <c r="B24" s="282" t="s">
        <v>290</v>
      </c>
      <c r="C24" s="289" t="s">
        <v>268</v>
      </c>
      <c r="D24" s="288" t="s">
        <v>291</v>
      </c>
      <c r="E24" s="285"/>
      <c r="F24" s="285"/>
    </row>
    <row r="25" customFormat="false" ht="16.5" hidden="false" customHeight="true" outlineLevel="0" collapsed="false">
      <c r="B25" s="282" t="s">
        <v>292</v>
      </c>
      <c r="C25" s="289" t="s">
        <v>293</v>
      </c>
      <c r="D25" s="298" t="str">
        <f aca="false">IF(D24="Ja",50,"Betydelselös")</f>
        <v>Betydelselös</v>
      </c>
      <c r="E25" s="285"/>
      <c r="F25" s="285"/>
    </row>
    <row r="26" customFormat="false" ht="16.5" hidden="false" customHeight="true" outlineLevel="0" collapsed="false">
      <c r="B26" s="282" t="s">
        <v>294</v>
      </c>
      <c r="C26" s="289" t="s">
        <v>295</v>
      </c>
      <c r="D26" s="299" t="str">
        <f aca="false">IF(D24="Ja",D25*10/3.6,"Betydelselös")</f>
        <v>Betydelselös</v>
      </c>
      <c r="E26" s="285"/>
      <c r="F26" s="285"/>
    </row>
    <row r="27" customFormat="false" ht="12.75" hidden="false" customHeight="true" outlineLevel="0" collapsed="false">
      <c r="B27" s="282" t="s">
        <v>296</v>
      </c>
      <c r="C27" s="289" t="s">
        <v>295</v>
      </c>
      <c r="D27" s="300" t="str">
        <f aca="false">IF(D24="Ja",D26/3.6,"Betydelselös")</f>
        <v>Betydelselös</v>
      </c>
      <c r="E27" s="285"/>
      <c r="F27" s="285"/>
    </row>
    <row r="28" customFormat="false" ht="12.75" hidden="false" customHeight="true" outlineLevel="0" collapsed="false">
      <c r="B28" s="282" t="s">
        <v>297</v>
      </c>
      <c r="C28" s="289" t="s">
        <v>298</v>
      </c>
      <c r="D28" s="301" t="n">
        <f aca="false">IF(D24="Ja",0.5,0)</f>
        <v>0</v>
      </c>
      <c r="E28" s="285"/>
      <c r="F28" s="285"/>
    </row>
    <row r="29" customFormat="false" ht="12.75" hidden="false" customHeight="false" outlineLevel="0" collapsed="false">
      <c r="B29" s="282" t="s">
        <v>299</v>
      </c>
      <c r="C29" s="289" t="s">
        <v>274</v>
      </c>
      <c r="D29" s="294" t="n">
        <v>1</v>
      </c>
      <c r="E29" s="285" t="s">
        <v>300</v>
      </c>
      <c r="F29" s="285"/>
    </row>
    <row r="30" customFormat="false" ht="12.75" hidden="false" customHeight="false" outlineLevel="0" collapsed="false">
      <c r="B30" s="282" t="s">
        <v>301</v>
      </c>
      <c r="C30" s="289" t="s">
        <v>15</v>
      </c>
      <c r="D30" s="294" t="n">
        <v>7</v>
      </c>
      <c r="E30" s="285" t="s">
        <v>300</v>
      </c>
      <c r="F30" s="285"/>
    </row>
    <row r="31" customFormat="false" ht="12.75" hidden="false" customHeight="false" outlineLevel="0" collapsed="false">
      <c r="B31" s="282" t="s">
        <v>302</v>
      </c>
      <c r="C31" s="289" t="s">
        <v>9</v>
      </c>
      <c r="D31" s="294" t="n">
        <v>0.7</v>
      </c>
      <c r="E31" s="285" t="s">
        <v>300</v>
      </c>
      <c r="F31" s="285"/>
    </row>
    <row r="32" customFormat="false" ht="12.75" hidden="false" customHeight="false" outlineLevel="0" collapsed="false">
      <c r="B32" s="282" t="s">
        <v>303</v>
      </c>
      <c r="C32" s="289" t="s">
        <v>295</v>
      </c>
      <c r="D32" s="295" t="n">
        <f aca="false">F32</f>
        <v>10</v>
      </c>
      <c r="E32" s="285" t="s">
        <v>300</v>
      </c>
      <c r="F32" s="285" t="n">
        <v>10</v>
      </c>
    </row>
    <row r="33" customFormat="false" ht="12.75" hidden="false" customHeight="false" outlineLevel="0" collapsed="false">
      <c r="B33" s="286" t="s">
        <v>304</v>
      </c>
      <c r="C33" s="287" t="s">
        <v>295</v>
      </c>
      <c r="D33" s="302" t="n">
        <f aca="false">IF(((10/D30-0.35)&gt;0),(10-0.35*D30),0)</f>
        <v>7.55</v>
      </c>
      <c r="E33" s="285" t="s">
        <v>300</v>
      </c>
      <c r="F33" s="285"/>
    </row>
    <row r="34" customFormat="false" ht="12.75" hidden="false" customHeight="false" outlineLevel="0" collapsed="false">
      <c r="B34" s="286" t="s">
        <v>305</v>
      </c>
      <c r="C34" s="287" t="s">
        <v>295</v>
      </c>
      <c r="D34" s="303" t="n">
        <f aca="false">F34</f>
        <v>10</v>
      </c>
      <c r="E34" s="285"/>
      <c r="F34" s="285" t="n">
        <v>10</v>
      </c>
    </row>
    <row r="35" customFormat="false" ht="12.75" hidden="false" customHeight="false" outlineLevel="0" collapsed="false">
      <c r="B35" s="286" t="s">
        <v>306</v>
      </c>
      <c r="C35" s="287" t="s">
        <v>9</v>
      </c>
      <c r="D35" s="303" t="n">
        <f aca="false">F35</f>
        <v>0.5</v>
      </c>
      <c r="E35" s="285"/>
      <c r="F35" s="285" t="n">
        <v>0.5</v>
      </c>
    </row>
    <row r="36" customFormat="false" ht="12.75" hidden="false" customHeight="false" outlineLevel="0" collapsed="false">
      <c r="B36" s="282" t="s">
        <v>307</v>
      </c>
      <c r="C36" s="289" t="s">
        <v>295</v>
      </c>
      <c r="D36" s="296" t="n">
        <f aca="false">D34*D35/24+D29*D33*D31/24+D23*D21+IF(D24="Ja",D27*D28/24,0)</f>
        <v>52.9285416666667</v>
      </c>
      <c r="E36" s="285"/>
      <c r="F36" s="285"/>
    </row>
    <row r="37" customFormat="false" ht="12.75" hidden="false" customHeight="false" outlineLevel="0" collapsed="false">
      <c r="B37" s="282" t="s">
        <v>308</v>
      </c>
      <c r="C37" s="289" t="s">
        <v>289</v>
      </c>
      <c r="D37" s="304" t="n">
        <f aca="false">D36/D21</f>
        <v>0.352856944444444</v>
      </c>
      <c r="E37" s="285"/>
      <c r="F37" s="285"/>
    </row>
    <row r="38" customFormat="false" ht="43.5" hidden="false" customHeight="true" outlineLevel="0" collapsed="false">
      <c r="B38" s="50" t="s">
        <v>309</v>
      </c>
      <c r="C38" s="305"/>
      <c r="D38" s="306" t="s">
        <v>310</v>
      </c>
      <c r="E38" s="285"/>
      <c r="F38" s="285"/>
    </row>
    <row r="39" customFormat="false" ht="12.75" hidden="true" customHeight="false" outlineLevel="0" collapsed="false">
      <c r="B39" s="286"/>
      <c r="C39" s="287"/>
      <c r="D39" s="307"/>
      <c r="E39" s="293"/>
      <c r="F39" s="293"/>
    </row>
    <row r="40" customFormat="false" ht="12.75" hidden="true" customHeight="false" outlineLevel="0" collapsed="false">
      <c r="B40" s="286"/>
      <c r="C40" s="287"/>
      <c r="D40" s="307"/>
      <c r="E40" s="293"/>
      <c r="F40" s="293"/>
    </row>
    <row r="41" customFormat="false" ht="12.75" hidden="false" customHeight="false" outlineLevel="0" collapsed="false">
      <c r="B41" s="282" t="s">
        <v>311</v>
      </c>
      <c r="C41" s="308" t="s">
        <v>30</v>
      </c>
      <c r="D41" s="295" t="n">
        <f aca="false">F41</f>
        <v>30</v>
      </c>
      <c r="E41" s="293"/>
      <c r="F41" s="293" t="n">
        <v>30</v>
      </c>
    </row>
    <row r="42" customFormat="false" ht="12.75" hidden="false" customHeight="false" outlineLevel="0" collapsed="false">
      <c r="B42" s="282" t="s">
        <v>311</v>
      </c>
      <c r="C42" s="289" t="s">
        <v>285</v>
      </c>
      <c r="D42" s="297" t="n">
        <f aca="false">D21*1000*(D41/365)/24</f>
        <v>513.698630136986</v>
      </c>
      <c r="E42" s="285"/>
      <c r="F42" s="285"/>
    </row>
    <row r="43" customFormat="false" ht="12.75" hidden="false" customHeight="false" outlineLevel="0" collapsed="false">
      <c r="B43" s="282" t="s">
        <v>312</v>
      </c>
      <c r="C43" s="289"/>
      <c r="D43" s="309" t="n">
        <f aca="false">D42*0.7</f>
        <v>359.58904109589</v>
      </c>
      <c r="E43" s="285"/>
      <c r="F43" s="285"/>
    </row>
    <row r="44" customFormat="false" ht="24" hidden="false" customHeight="true" outlineLevel="0" collapsed="false">
      <c r="B44" s="282" t="s">
        <v>313</v>
      </c>
      <c r="C44" s="310"/>
      <c r="D44" s="288" t="s">
        <v>291</v>
      </c>
      <c r="E44" s="285"/>
      <c r="F44" s="285" t="n">
        <v>50</v>
      </c>
    </row>
    <row r="45" customFormat="false" ht="78" hidden="false" customHeight="true" outlineLevel="0" collapsed="false">
      <c r="B45" s="50" t="s">
        <v>314</v>
      </c>
      <c r="C45" s="311" t="s">
        <v>185</v>
      </c>
      <c r="D45" s="312" t="str">
        <f aca="false">IF(D44="Ja",71,"Ej definierad i BEN 3 när solavskärmning saknas. Se hjälptext i EC för skuggfaktor")</f>
        <v>Ej definierad i BEN 3 när solavskärmning saknas. Se hjälptext i EC för skuggfaktor</v>
      </c>
      <c r="E45" s="285"/>
      <c r="F45" s="285" t="n">
        <v>0.5</v>
      </c>
    </row>
    <row r="46" customFormat="false" ht="21.75" hidden="false" customHeight="true" outlineLevel="0" collapsed="false">
      <c r="B46" s="282" t="s">
        <v>315</v>
      </c>
      <c r="C46" s="310" t="s">
        <v>316</v>
      </c>
      <c r="D46" s="313" t="n">
        <v>0.6</v>
      </c>
      <c r="E46" s="285" t="s">
        <v>300</v>
      </c>
      <c r="F46" s="285"/>
    </row>
    <row r="47" customFormat="false" ht="15.75" hidden="false" customHeight="true" outlineLevel="0" collapsed="false">
      <c r="B47" s="314"/>
      <c r="C47" s="315"/>
      <c r="D47" s="314"/>
      <c r="E47" s="285"/>
      <c r="F47" s="285"/>
    </row>
    <row r="48" customFormat="false" ht="90" hidden="false" customHeight="true" outlineLevel="0" collapsed="false">
      <c r="B48" s="266"/>
    </row>
    <row r="50" customFormat="false" ht="12.75" hidden="false" customHeight="false" outlineLevel="0" collapsed="false">
      <c r="D50" s="78"/>
      <c r="G50" s="78"/>
    </row>
    <row r="51" customFormat="false" ht="12.75" hidden="false" customHeight="false" outlineLevel="0" collapsed="false">
      <c r="D51" s="78"/>
      <c r="G51" s="78"/>
    </row>
    <row r="52" customFormat="false" ht="12.75" hidden="false" customHeight="false" outlineLevel="0" collapsed="false">
      <c r="D52" s="78"/>
      <c r="G52" s="78"/>
    </row>
    <row r="53" customFormat="false" ht="12.75" hidden="false" customHeight="false" outlineLevel="0" collapsed="false">
      <c r="D53" s="78"/>
      <c r="G53" s="78"/>
    </row>
    <row r="54" customFormat="false" ht="12.75" hidden="false" customHeight="false" outlineLevel="0" collapsed="false">
      <c r="D54" s="78"/>
      <c r="G54" s="78"/>
    </row>
    <row r="55" customFormat="false" ht="12.75" hidden="true" customHeight="false" outlineLevel="0" collapsed="false">
      <c r="B55" s="111" t="s">
        <v>91</v>
      </c>
      <c r="G55" s="78"/>
    </row>
    <row r="56" customFormat="false" ht="12.75" hidden="true" customHeight="false" outlineLevel="0" collapsed="false">
      <c r="B56" s="111" t="s">
        <v>93</v>
      </c>
      <c r="G56" s="78"/>
    </row>
    <row r="57" customFormat="false" ht="12.75" hidden="true" customHeight="false" outlineLevel="0" collapsed="false">
      <c r="B57" s="111" t="s">
        <v>94</v>
      </c>
      <c r="G57" s="78"/>
    </row>
    <row r="58" customFormat="false" ht="12.75" hidden="true" customHeight="false" outlineLevel="0" collapsed="false">
      <c r="B58" s="111" t="s">
        <v>95</v>
      </c>
    </row>
    <row r="59" customFormat="false" ht="12.75" hidden="true" customHeight="false" outlineLevel="0" collapsed="false">
      <c r="B59" s="111" t="s">
        <v>96</v>
      </c>
    </row>
    <row r="60" customFormat="false" ht="12.75" hidden="true" customHeight="false" outlineLevel="0" collapsed="false">
      <c r="B60" s="111" t="s">
        <v>97</v>
      </c>
    </row>
    <row r="61" customFormat="false" ht="12.75" hidden="true" customHeight="false" outlineLevel="0" collapsed="false">
      <c r="B61" s="90" t="s">
        <v>317</v>
      </c>
      <c r="C61" s="272" t="s">
        <v>318</v>
      </c>
    </row>
    <row r="62" customFormat="false" ht="12.75" hidden="true" customHeight="false" outlineLevel="0" collapsed="false">
      <c r="C62" s="272" t="s">
        <v>319</v>
      </c>
    </row>
    <row r="63" customFormat="false" ht="12.75" hidden="true" customHeight="false" outlineLevel="0" collapsed="false">
      <c r="C63" s="272" t="s">
        <v>291</v>
      </c>
    </row>
  </sheetData>
  <mergeCells count="3">
    <mergeCell ref="B1:D1"/>
    <mergeCell ref="B2:D2"/>
    <mergeCell ref="B6:D6"/>
  </mergeCells>
  <dataValidations count="12">
    <dataValidation allowBlank="false" errorStyle="stop" operator="equal" prompt="Gäller endast flerbostadshus" promptTitle="Äldreboende" showDropDown="false" showErrorMessage="true" showInputMessage="true" sqref="D8" type="list">
      <formula1>"ja,nej"</formula1>
      <formula2>0</formula2>
    </dataValidation>
    <dataValidation allowBlank="true" errorStyle="stop" operator="equal" prompt="Värden att använda i EnergyCalc" promptTitle="Ben1 data" showDropDown="false" showErrorMessage="true" showInputMessage="true" sqref="D9 D20 D37" type="none">
      <formula1>0</formula1>
      <formula2>0</formula2>
    </dataValidation>
    <dataValidation allowBlank="true" errorStyle="stop" operator="between" prompt="Ange hur många lägenheter det finns av varje typ." showDropDown="false" showErrorMessage="true" showInputMessage="true" sqref="D11:D15" type="whole">
      <formula1>0</formula1>
      <formula2>1000</formula2>
    </dataValidation>
    <dataValidation allowBlank="true" errorStyle="stop" operator="equal" prompt="Värden att använda i EnergyCalc&#10;Mata in under apparatur" promptTitle="Ben1 data" showDropDown="false" showErrorMessage="true" showInputMessage="true" sqref="D41:D42" type="none">
      <formula1>0</formula1>
      <formula2>0</formula2>
    </dataValidation>
    <dataValidation allowBlank="true" errorStyle="stop" operator="equal" showDropDown="false" showErrorMessage="true" showInputMessage="false" sqref="D44" type="list">
      <formula1>"Ja,Nej"</formula1>
      <formula2>0</formula2>
    </dataValidation>
    <dataValidation allowBlank="true" errorStyle="stop" operator="equal" prompt="Välj bostadstyp i byggnaden.&#10;För små bostäder i flerbostadshus gäller att &#10;merparten av A-temp ska  innehålla lägenheter mindre än 35 m2 boarea vardera." promptTitle="Bostadstyp" showDropDown="false" showErrorMessage="true" showInputMessage="true" sqref="D7" type="list">
      <formula1>$B$55:$B$60</formula1>
      <formula2>0</formula2>
    </dataValidation>
    <dataValidation allowBlank="true" errorStyle="stop" operator="between" prompt="Ange om det fins ventilation i köket som går ut ur byggnaden.&#13;Kallas avluftsflöde i BEN 3&#13;" showDropDown="false" showErrorMessage="true" showInputMessage="true" sqref="D24" type="list">
      <formula1>$C$62:$C$63</formula1>
      <formula2>0</formula2>
    </dataValidation>
    <dataValidation allowBlank="true" errorStyle="stop" operator="between" promptTitle="Beräknat luftflöde" showDropDown="false" showErrorMessage="true" showInputMessage="true" sqref="D26" type="decimal">
      <formula1>0</formula1>
      <formula2>200</formula2>
    </dataValidation>
    <dataValidation allowBlank="true" errorStyle="stop" operator="between" prompt="Kan skrivas över&#13;Original =IF(D24=&quot;Ja&quot;;D26/3,6;&quot;Betydelselös&quot;)&#13;" promptTitle="Använt luftflöde köksventilation" showDropDown="false" showErrorMessage="true" showInputMessage="true" sqref="D27" type="none">
      <formula1>0</formula1>
      <formula2>0</formula2>
    </dataValidation>
    <dataValidation allowBlank="true" errorStyle="stop" operator="between" prompt="Ange om det fins ventilation i köket som går ut ur byggnaden.&#13;Kallas avluftsflöde i BEN 3&#13;" showDropDown="false" showErrorMessage="true" showInputMessage="true" sqref="D28" type="none">
      <formula1>0</formula1>
      <formula2>0</formula2>
    </dataValidation>
    <dataValidation allowBlank="true" errorStyle="stop" operator="between" prompt="Ventilationsflöde i köket är normalt beroende av kökets volym." promptTitle="Köksvolym m3" showDropDown="false" showErrorMessage="true" showInputMessage="true" sqref="D25" type="none">
      <formula1>0</formula1>
      <formula2>0</formula2>
    </dataValidation>
    <dataValidation allowBlank="true" errorStyle="stop" operator="between" prompt="0,2 för mycket täta hus. 0,5 för normaltäta hus.&#13;0,6 minimikrav enligt tidigare ej nu gällande regler" promptTitle="Läckfaktor" showDropDown="false" showErrorMessage="true" showInputMessage="true" sqref="D46" type="none">
      <formula1>0</formula1>
      <formula2>0</formula2>
    </dataValidation>
  </dataValidations>
  <printOptions headings="false" gridLines="false" gridLinesSet="true" horizontalCentered="false" verticalCentered="false"/>
  <pageMargins left="0.561805555555556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&amp;CSida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X355"/>
  <sheetViews>
    <sheetView showFormulas="false" showGridLines="true" showRowColHeaders="true" showZeros="true" rightToLeft="false" tabSelected="false" showOutlineSymbols="true" defaultGridColor="true" view="normal" topLeftCell="A55" colorId="64" zoomScale="125" zoomScaleNormal="125" zoomScalePageLayoutView="100" workbookViewId="0">
      <selection pane="topLeft" activeCell="A76" activeCellId="0" sqref="A76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0" width="16.71"/>
    <col collapsed="false" customWidth="true" hidden="false" outlineLevel="0" max="2" min="2" style="0" width="20.71"/>
    <col collapsed="false" customWidth="true" hidden="false" outlineLevel="0" max="7" min="7" style="0" width="17"/>
    <col collapsed="false" customWidth="true" hidden="false" outlineLevel="0" max="12" min="12" style="0" width="16.14"/>
    <col collapsed="false" customWidth="true" hidden="false" outlineLevel="0" max="13" min="13" style="0" width="11.71"/>
    <col collapsed="false" customWidth="true" hidden="false" outlineLevel="0" max="15" min="15" style="0" width="11.71"/>
    <col collapsed="false" customWidth="true" hidden="false" outlineLevel="0" max="16" min="16" style="0" width="14.7"/>
    <col collapsed="false" customWidth="true" hidden="false" outlineLevel="0" max="19" min="19" style="0" width="13.29"/>
    <col collapsed="false" customWidth="true" hidden="false" outlineLevel="0" max="20" min="20" style="0" width="14.7"/>
    <col collapsed="false" customWidth="true" hidden="false" outlineLevel="0" max="21" min="21" style="0" width="13.43"/>
    <col collapsed="false" customWidth="true" hidden="false" outlineLevel="0" max="22" min="22" style="0" width="15.71"/>
  </cols>
  <sheetData>
    <row r="3" customFormat="false" ht="12.75" hidden="false" customHeight="false" outlineLevel="0" collapsed="false">
      <c r="B3" s="111" t="s">
        <v>320</v>
      </c>
      <c r="C3" s="111"/>
      <c r="D3" s="111" t="s">
        <v>321</v>
      </c>
      <c r="E3" s="316" t="s">
        <v>322</v>
      </c>
      <c r="F3" s="316" t="s">
        <v>323</v>
      </c>
      <c r="G3" s="111" t="s">
        <v>324</v>
      </c>
      <c r="H3" s="111" t="s">
        <v>325</v>
      </c>
      <c r="I3" s="111" t="s">
        <v>326</v>
      </c>
      <c r="J3" s="111" t="s">
        <v>327</v>
      </c>
      <c r="K3" s="111" t="s">
        <v>328</v>
      </c>
      <c r="L3" s="111" t="s">
        <v>329</v>
      </c>
      <c r="M3" s="111" t="s">
        <v>330</v>
      </c>
      <c r="N3" s="111" t="s">
        <v>331</v>
      </c>
      <c r="O3" s="111" t="s">
        <v>3</v>
      </c>
      <c r="P3" s="111" t="s">
        <v>332</v>
      </c>
      <c r="Q3" s="111" t="s">
        <v>333</v>
      </c>
      <c r="R3" s="111" t="s">
        <v>334</v>
      </c>
      <c r="S3" s="111" t="s">
        <v>335</v>
      </c>
      <c r="T3" s="111" t="s">
        <v>336</v>
      </c>
      <c r="U3" s="111" t="s">
        <v>337</v>
      </c>
      <c r="V3" s="111" t="s">
        <v>338</v>
      </c>
      <c r="W3" s="111" t="s">
        <v>339</v>
      </c>
      <c r="X3" s="111" t="s">
        <v>340</v>
      </c>
    </row>
    <row r="4" customFormat="false" ht="12.75" hidden="false" customHeight="false" outlineLevel="0" collapsed="false">
      <c r="B4" s="111" t="s">
        <v>321</v>
      </c>
      <c r="C4" s="317"/>
      <c r="D4" s="318" t="s">
        <v>341</v>
      </c>
      <c r="E4" s="316" t="s">
        <v>342</v>
      </c>
      <c r="F4" s="318" t="s">
        <v>343</v>
      </c>
      <c r="G4" s="316" t="s">
        <v>344</v>
      </c>
      <c r="H4" s="318" t="s">
        <v>345</v>
      </c>
      <c r="I4" s="111" t="s">
        <v>346</v>
      </c>
      <c r="J4" s="111" t="s">
        <v>347</v>
      </c>
      <c r="K4" s="111" t="s">
        <v>348</v>
      </c>
      <c r="L4" s="318" t="s">
        <v>349</v>
      </c>
      <c r="M4" s="111" t="s">
        <v>350</v>
      </c>
      <c r="N4" s="111" t="s">
        <v>351</v>
      </c>
      <c r="O4" s="318" t="s">
        <v>352</v>
      </c>
      <c r="P4" s="318" t="s">
        <v>353</v>
      </c>
      <c r="Q4" s="111" t="s">
        <v>354</v>
      </c>
      <c r="R4" s="111" t="s">
        <v>355</v>
      </c>
      <c r="S4" s="111" t="s">
        <v>356</v>
      </c>
      <c r="T4" s="111" t="s">
        <v>357</v>
      </c>
      <c r="U4" s="111" t="s">
        <v>358</v>
      </c>
      <c r="V4" s="111" t="s">
        <v>359</v>
      </c>
      <c r="W4" s="111" t="s">
        <v>360</v>
      </c>
      <c r="X4" s="318" t="s">
        <v>361</v>
      </c>
    </row>
    <row r="5" customFormat="false" ht="12.75" hidden="false" customHeight="false" outlineLevel="0" collapsed="false">
      <c r="B5" s="111" t="s">
        <v>322</v>
      </c>
      <c r="D5" s="318" t="s">
        <v>362</v>
      </c>
      <c r="E5" s="316" t="s">
        <v>363</v>
      </c>
      <c r="F5" s="318" t="s">
        <v>364</v>
      </c>
      <c r="G5" s="316" t="s">
        <v>365</v>
      </c>
      <c r="H5" s="318" t="s">
        <v>366</v>
      </c>
      <c r="I5" s="111" t="s">
        <v>367</v>
      </c>
      <c r="J5" s="111" t="s">
        <v>368</v>
      </c>
      <c r="K5" s="111" t="s">
        <v>369</v>
      </c>
      <c r="L5" s="318" t="s">
        <v>370</v>
      </c>
      <c r="M5" s="111" t="s">
        <v>371</v>
      </c>
      <c r="N5" s="111" t="s">
        <v>372</v>
      </c>
      <c r="O5" s="318" t="s">
        <v>373</v>
      </c>
      <c r="P5" s="318" t="s">
        <v>374</v>
      </c>
      <c r="Q5" s="111" t="s">
        <v>375</v>
      </c>
      <c r="R5" s="111" t="s">
        <v>376</v>
      </c>
      <c r="S5" s="111" t="s">
        <v>377</v>
      </c>
      <c r="T5" s="111" t="s">
        <v>378</v>
      </c>
      <c r="U5" s="111" t="s">
        <v>379</v>
      </c>
      <c r="V5" s="111" t="s">
        <v>380</v>
      </c>
      <c r="W5" s="111" t="s">
        <v>381</v>
      </c>
      <c r="X5" s="318" t="s">
        <v>382</v>
      </c>
    </row>
    <row r="6" customFormat="false" ht="12.75" hidden="false" customHeight="false" outlineLevel="0" collapsed="false">
      <c r="B6" s="111" t="s">
        <v>323</v>
      </c>
      <c r="D6" s="318" t="s">
        <v>383</v>
      </c>
      <c r="E6" s="316" t="s">
        <v>384</v>
      </c>
      <c r="F6" s="316"/>
      <c r="G6" s="316" t="s">
        <v>385</v>
      </c>
      <c r="H6" s="318" t="s">
        <v>386</v>
      </c>
      <c r="I6" s="111" t="s">
        <v>387</v>
      </c>
      <c r="J6" s="111" t="s">
        <v>388</v>
      </c>
      <c r="K6" s="111" t="s">
        <v>328</v>
      </c>
      <c r="L6" s="318" t="s">
        <v>389</v>
      </c>
      <c r="M6" s="111" t="s">
        <v>390</v>
      </c>
      <c r="N6" s="111" t="s">
        <v>391</v>
      </c>
      <c r="O6" s="318" t="s">
        <v>392</v>
      </c>
      <c r="P6" s="318" t="s">
        <v>393</v>
      </c>
      <c r="Q6" s="111" t="s">
        <v>394</v>
      </c>
      <c r="R6" s="111" t="s">
        <v>395</v>
      </c>
      <c r="S6" s="111" t="s">
        <v>396</v>
      </c>
      <c r="T6" s="111" t="s">
        <v>397</v>
      </c>
      <c r="U6" s="111" t="s">
        <v>398</v>
      </c>
      <c r="V6" s="111" t="s">
        <v>399</v>
      </c>
      <c r="W6" s="111" t="s">
        <v>400</v>
      </c>
      <c r="X6" s="318" t="s">
        <v>401</v>
      </c>
    </row>
    <row r="7" customFormat="false" ht="12.75" hidden="false" customHeight="false" outlineLevel="0" collapsed="false">
      <c r="B7" s="111" t="s">
        <v>324</v>
      </c>
      <c r="D7" s="318" t="s">
        <v>402</v>
      </c>
      <c r="E7" s="316" t="s">
        <v>403</v>
      </c>
      <c r="F7" s="316"/>
      <c r="G7" s="316" t="s">
        <v>404</v>
      </c>
      <c r="H7" s="318" t="s">
        <v>405</v>
      </c>
      <c r="I7" s="111" t="s">
        <v>406</v>
      </c>
      <c r="J7" s="111" t="s">
        <v>407</v>
      </c>
      <c r="K7" s="111" t="s">
        <v>408</v>
      </c>
      <c r="L7" s="318" t="s">
        <v>409</v>
      </c>
      <c r="M7" s="111" t="s">
        <v>410</v>
      </c>
      <c r="N7" s="111" t="s">
        <v>411</v>
      </c>
      <c r="O7" s="318" t="s">
        <v>412</v>
      </c>
      <c r="P7" s="318" t="s">
        <v>413</v>
      </c>
      <c r="Q7" s="111" t="s">
        <v>333</v>
      </c>
      <c r="R7" s="111" t="s">
        <v>414</v>
      </c>
      <c r="S7" s="111" t="s">
        <v>415</v>
      </c>
      <c r="T7" s="111" t="s">
        <v>416</v>
      </c>
      <c r="U7" s="111" t="s">
        <v>417</v>
      </c>
      <c r="V7" s="111" t="s">
        <v>418</v>
      </c>
      <c r="W7" s="111" t="s">
        <v>419</v>
      </c>
      <c r="X7" s="318" t="s">
        <v>420</v>
      </c>
    </row>
    <row r="8" customFormat="false" ht="12.75" hidden="false" customHeight="false" outlineLevel="0" collapsed="false">
      <c r="B8" s="111" t="s">
        <v>325</v>
      </c>
      <c r="D8" s="318" t="s">
        <v>421</v>
      </c>
      <c r="E8" s="316" t="s">
        <v>422</v>
      </c>
      <c r="F8" s="316"/>
      <c r="G8" s="316" t="s">
        <v>423</v>
      </c>
      <c r="H8" s="318" t="s">
        <v>424</v>
      </c>
      <c r="I8" s="111" t="s">
        <v>425</v>
      </c>
      <c r="J8" s="111" t="s">
        <v>327</v>
      </c>
      <c r="K8" s="111" t="s">
        <v>426</v>
      </c>
      <c r="L8" s="318" t="s">
        <v>427</v>
      </c>
      <c r="M8" s="111" t="s">
        <v>428</v>
      </c>
      <c r="N8" s="111" t="s">
        <v>429</v>
      </c>
      <c r="O8" s="318" t="s">
        <v>430</v>
      </c>
      <c r="P8" s="318" t="s">
        <v>431</v>
      </c>
      <c r="Q8" s="111" t="s">
        <v>432</v>
      </c>
      <c r="R8" s="111" t="s">
        <v>433</v>
      </c>
      <c r="S8" s="111" t="s">
        <v>434</v>
      </c>
      <c r="T8" s="111" t="s">
        <v>435</v>
      </c>
      <c r="U8" s="111" t="s">
        <v>436</v>
      </c>
      <c r="V8" s="111" t="s">
        <v>437</v>
      </c>
      <c r="W8" s="111" t="s">
        <v>339</v>
      </c>
      <c r="X8" s="318" t="s">
        <v>438</v>
      </c>
    </row>
    <row r="9" customFormat="false" ht="12.75" hidden="false" customHeight="false" outlineLevel="0" collapsed="false">
      <c r="B9" s="111" t="s">
        <v>326</v>
      </c>
      <c r="D9" s="318"/>
      <c r="E9" s="316" t="s">
        <v>439</v>
      </c>
      <c r="F9" s="316"/>
      <c r="G9" s="316" t="s">
        <v>440</v>
      </c>
      <c r="H9" s="318" t="s">
        <v>441</v>
      </c>
      <c r="I9" s="111" t="s">
        <v>442</v>
      </c>
      <c r="J9" s="111" t="s">
        <v>443</v>
      </c>
      <c r="K9" s="111" t="s">
        <v>444</v>
      </c>
      <c r="L9" s="318" t="s">
        <v>445</v>
      </c>
      <c r="M9" s="111" t="s">
        <v>446</v>
      </c>
      <c r="N9" s="111" t="s">
        <v>447</v>
      </c>
      <c r="O9" s="318" t="s">
        <v>448</v>
      </c>
      <c r="P9" s="318" t="s">
        <v>449</v>
      </c>
      <c r="Q9" s="111" t="s">
        <v>450</v>
      </c>
      <c r="R9" s="111" t="s">
        <v>451</v>
      </c>
      <c r="S9" s="111" t="s">
        <v>452</v>
      </c>
      <c r="T9" s="111" t="s">
        <v>453</v>
      </c>
      <c r="U9" s="111" t="s">
        <v>454</v>
      </c>
      <c r="V9" s="111" t="s">
        <v>455</v>
      </c>
      <c r="W9" s="111" t="s">
        <v>456</v>
      </c>
      <c r="X9" s="318" t="s">
        <v>457</v>
      </c>
    </row>
    <row r="10" customFormat="false" ht="12.75" hidden="false" customHeight="false" outlineLevel="0" collapsed="false">
      <c r="B10" s="111" t="s">
        <v>327</v>
      </c>
      <c r="D10" s="318"/>
      <c r="E10" s="316" t="s">
        <v>458</v>
      </c>
      <c r="F10" s="316"/>
      <c r="G10" s="316" t="s">
        <v>459</v>
      </c>
      <c r="H10" s="0" t="s">
        <v>460</v>
      </c>
      <c r="I10" s="111" t="s">
        <v>461</v>
      </c>
      <c r="J10" s="111" t="s">
        <v>462</v>
      </c>
      <c r="K10" s="111" t="s">
        <v>463</v>
      </c>
      <c r="L10" s="318" t="s">
        <v>464</v>
      </c>
      <c r="M10" s="111" t="s">
        <v>465</v>
      </c>
      <c r="N10" s="111" t="s">
        <v>466</v>
      </c>
      <c r="O10" s="318" t="s">
        <v>467</v>
      </c>
      <c r="P10" s="318" t="s">
        <v>468</v>
      </c>
      <c r="Q10" s="111" t="s">
        <v>469</v>
      </c>
      <c r="R10" s="111" t="s">
        <v>470</v>
      </c>
      <c r="S10" s="111" t="s">
        <v>471</v>
      </c>
      <c r="T10" s="111" t="s">
        <v>472</v>
      </c>
      <c r="U10" s="111" t="s">
        <v>473</v>
      </c>
      <c r="V10" s="111" t="s">
        <v>474</v>
      </c>
      <c r="W10" s="111" t="s">
        <v>475</v>
      </c>
      <c r="X10" s="318" t="s">
        <v>476</v>
      </c>
    </row>
    <row r="11" customFormat="false" ht="12.75" hidden="false" customHeight="false" outlineLevel="0" collapsed="false">
      <c r="B11" s="111" t="s">
        <v>328</v>
      </c>
      <c r="E11" s="316" t="s">
        <v>477</v>
      </c>
      <c r="F11" s="316"/>
      <c r="G11" s="316" t="s">
        <v>478</v>
      </c>
      <c r="I11" s="111" t="s">
        <v>479</v>
      </c>
      <c r="J11" s="111" t="s">
        <v>480</v>
      </c>
      <c r="K11" s="111" t="s">
        <v>481</v>
      </c>
      <c r="M11" s="111" t="s">
        <v>482</v>
      </c>
      <c r="N11" s="111" t="s">
        <v>483</v>
      </c>
      <c r="O11" s="318" t="s">
        <v>484</v>
      </c>
      <c r="P11" s="318" t="s">
        <v>485</v>
      </c>
      <c r="Q11" s="111" t="s">
        <v>486</v>
      </c>
      <c r="R11" s="111" t="s">
        <v>487</v>
      </c>
      <c r="S11" s="111" t="s">
        <v>488</v>
      </c>
      <c r="U11" s="111" t="s">
        <v>489</v>
      </c>
      <c r="V11" s="111" t="s">
        <v>490</v>
      </c>
      <c r="W11" s="111" t="s">
        <v>491</v>
      </c>
      <c r="X11" s="318" t="s">
        <v>492</v>
      </c>
    </row>
    <row r="12" customFormat="false" ht="12.75" hidden="false" customHeight="false" outlineLevel="0" collapsed="false">
      <c r="B12" s="111" t="s">
        <v>329</v>
      </c>
      <c r="E12" s="316" t="s">
        <v>493</v>
      </c>
      <c r="F12" s="316"/>
      <c r="G12" s="316" t="s">
        <v>494</v>
      </c>
      <c r="J12" s="111" t="s">
        <v>495</v>
      </c>
      <c r="K12" s="111" t="s">
        <v>496</v>
      </c>
      <c r="M12" s="111" t="s">
        <v>497</v>
      </c>
      <c r="N12" s="111" t="s">
        <v>498</v>
      </c>
      <c r="O12" s="318" t="s">
        <v>499</v>
      </c>
      <c r="R12" s="111" t="s">
        <v>500</v>
      </c>
      <c r="S12" s="111" t="s">
        <v>501</v>
      </c>
      <c r="U12" s="111" t="s">
        <v>502</v>
      </c>
      <c r="V12" s="111" t="s">
        <v>503</v>
      </c>
      <c r="W12" s="111" t="s">
        <v>504</v>
      </c>
      <c r="X12" s="318" t="s">
        <v>505</v>
      </c>
    </row>
    <row r="13" customFormat="false" ht="12.75" hidden="false" customHeight="false" outlineLevel="0" collapsed="false">
      <c r="B13" s="111" t="s">
        <v>330</v>
      </c>
      <c r="E13" s="316" t="s">
        <v>506</v>
      </c>
      <c r="F13" s="316"/>
      <c r="G13" s="316" t="s">
        <v>507</v>
      </c>
      <c r="J13" s="111" t="s">
        <v>508</v>
      </c>
      <c r="K13" s="111" t="s">
        <v>509</v>
      </c>
      <c r="M13" s="111" t="s">
        <v>510</v>
      </c>
      <c r="N13" s="111" t="s">
        <v>511</v>
      </c>
      <c r="O13" s="318" t="s">
        <v>512</v>
      </c>
      <c r="P13" s="111"/>
      <c r="R13" s="111" t="s">
        <v>513</v>
      </c>
      <c r="S13" s="111" t="s">
        <v>514</v>
      </c>
      <c r="U13" s="111" t="s">
        <v>515</v>
      </c>
      <c r="V13" s="111" t="s">
        <v>516</v>
      </c>
      <c r="W13" s="111" t="s">
        <v>517</v>
      </c>
      <c r="X13" s="318" t="s">
        <v>518</v>
      </c>
    </row>
    <row r="14" customFormat="false" ht="12.75" hidden="false" customHeight="false" outlineLevel="0" collapsed="false">
      <c r="B14" s="111" t="s">
        <v>331</v>
      </c>
      <c r="E14" s="316" t="s">
        <v>519</v>
      </c>
      <c r="F14" s="316"/>
      <c r="J14" s="111" t="s">
        <v>520</v>
      </c>
      <c r="K14" s="111" t="s">
        <v>521</v>
      </c>
      <c r="M14" s="111" t="s">
        <v>522</v>
      </c>
      <c r="N14" s="111" t="s">
        <v>523</v>
      </c>
      <c r="O14" s="318" t="s">
        <v>524</v>
      </c>
      <c r="R14" s="111" t="s">
        <v>525</v>
      </c>
      <c r="S14" s="111" t="s">
        <v>526</v>
      </c>
      <c r="V14" s="111" t="s">
        <v>527</v>
      </c>
      <c r="W14" s="111" t="s">
        <v>528</v>
      </c>
      <c r="X14" s="318" t="s">
        <v>529</v>
      </c>
    </row>
    <row r="15" customFormat="false" ht="12.75" hidden="false" customHeight="false" outlineLevel="0" collapsed="false">
      <c r="B15" s="111" t="s">
        <v>3</v>
      </c>
      <c r="E15" s="316" t="s">
        <v>530</v>
      </c>
      <c r="F15" s="316"/>
      <c r="J15" s="111" t="s">
        <v>531</v>
      </c>
      <c r="K15" s="111" t="s">
        <v>532</v>
      </c>
      <c r="M15" s="111" t="s">
        <v>533</v>
      </c>
      <c r="N15" s="111" t="s">
        <v>534</v>
      </c>
      <c r="O15" s="318" t="s">
        <v>535</v>
      </c>
      <c r="R15" s="111" t="s">
        <v>536</v>
      </c>
      <c r="S15" s="111" t="s">
        <v>537</v>
      </c>
      <c r="V15" s="111" t="s">
        <v>538</v>
      </c>
      <c r="W15" s="111" t="s">
        <v>539</v>
      </c>
      <c r="X15" s="318" t="s">
        <v>540</v>
      </c>
    </row>
    <row r="16" customFormat="false" ht="12.75" hidden="false" customHeight="false" outlineLevel="0" collapsed="false">
      <c r="B16" s="111" t="s">
        <v>332</v>
      </c>
      <c r="E16" s="316" t="s">
        <v>541</v>
      </c>
      <c r="F16" s="316"/>
      <c r="J16" s="111" t="s">
        <v>542</v>
      </c>
      <c r="M16" s="111" t="s">
        <v>543</v>
      </c>
      <c r="N16" s="111" t="s">
        <v>544</v>
      </c>
      <c r="O16" s="318" t="s">
        <v>545</v>
      </c>
      <c r="R16" s="111" t="s">
        <v>546</v>
      </c>
      <c r="S16" s="111" t="s">
        <v>547</v>
      </c>
      <c r="V16" s="111" t="s">
        <v>548</v>
      </c>
      <c r="X16" s="318" t="s">
        <v>549</v>
      </c>
    </row>
    <row r="17" customFormat="false" ht="12.75" hidden="false" customHeight="false" outlineLevel="0" collapsed="false">
      <c r="B17" s="111" t="s">
        <v>333</v>
      </c>
      <c r="E17" s="316" t="s">
        <v>550</v>
      </c>
      <c r="F17" s="316"/>
      <c r="M17" s="111" t="s">
        <v>551</v>
      </c>
      <c r="N17" s="111" t="s">
        <v>552</v>
      </c>
      <c r="O17" s="318" t="s">
        <v>553</v>
      </c>
      <c r="R17" s="111" t="s">
        <v>554</v>
      </c>
      <c r="S17" s="111" t="s">
        <v>555</v>
      </c>
      <c r="V17" s="111" t="s">
        <v>556</v>
      </c>
    </row>
    <row r="18" customFormat="false" ht="12.75" hidden="false" customHeight="false" outlineLevel="0" collapsed="false">
      <c r="B18" s="111" t="s">
        <v>334</v>
      </c>
      <c r="E18" s="316" t="s">
        <v>557</v>
      </c>
      <c r="F18" s="316"/>
      <c r="M18" s="111"/>
      <c r="N18" s="111" t="s">
        <v>558</v>
      </c>
      <c r="O18" s="318" t="s">
        <v>559</v>
      </c>
      <c r="R18" s="111" t="s">
        <v>560</v>
      </c>
      <c r="S18" s="111" t="s">
        <v>561</v>
      </c>
      <c r="V18" s="111" t="s">
        <v>562</v>
      </c>
    </row>
    <row r="19" customFormat="false" ht="12.75" hidden="false" customHeight="false" outlineLevel="0" collapsed="false">
      <c r="B19" s="111" t="s">
        <v>335</v>
      </c>
      <c r="C19" s="111"/>
      <c r="E19" s="316" t="s">
        <v>563</v>
      </c>
      <c r="G19" s="44"/>
      <c r="M19" s="111"/>
      <c r="N19" s="111" t="s">
        <v>564</v>
      </c>
      <c r="O19" s="318" t="s">
        <v>565</v>
      </c>
      <c r="R19" s="111" t="s">
        <v>566</v>
      </c>
      <c r="V19" s="111" t="s">
        <v>567</v>
      </c>
    </row>
    <row r="20" customFormat="false" ht="12.75" hidden="false" customHeight="false" outlineLevel="0" collapsed="false">
      <c r="B20" s="111" t="s">
        <v>336</v>
      </c>
      <c r="C20" s="111"/>
      <c r="M20" s="111"/>
      <c r="N20" s="111" t="s">
        <v>568</v>
      </c>
      <c r="O20" s="318" t="s">
        <v>3</v>
      </c>
      <c r="V20" s="111" t="s">
        <v>569</v>
      </c>
    </row>
    <row r="21" customFormat="false" ht="12.75" hidden="false" customHeight="false" outlineLevel="0" collapsed="false">
      <c r="B21" s="111" t="s">
        <v>337</v>
      </c>
      <c r="C21" s="111"/>
      <c r="M21" s="111"/>
      <c r="N21" s="111" t="s">
        <v>570</v>
      </c>
      <c r="O21" s="318" t="s">
        <v>571</v>
      </c>
      <c r="V21" s="111" t="s">
        <v>572</v>
      </c>
    </row>
    <row r="22" customFormat="false" ht="12.75" hidden="false" customHeight="false" outlineLevel="0" collapsed="false">
      <c r="B22" s="111" t="s">
        <v>573</v>
      </c>
      <c r="C22" s="111"/>
      <c r="M22" s="111"/>
      <c r="N22" s="111" t="s">
        <v>574</v>
      </c>
      <c r="O22" s="318" t="s">
        <v>575</v>
      </c>
      <c r="V22" s="111" t="s">
        <v>576</v>
      </c>
    </row>
    <row r="23" customFormat="false" ht="12.75" hidden="false" customHeight="false" outlineLevel="0" collapsed="false">
      <c r="B23" s="111" t="s">
        <v>339</v>
      </c>
      <c r="C23" s="111"/>
      <c r="M23" s="111"/>
      <c r="N23" s="111" t="s">
        <v>577</v>
      </c>
      <c r="O23" s="318" t="s">
        <v>578</v>
      </c>
      <c r="V23" s="111" t="s">
        <v>579</v>
      </c>
    </row>
    <row r="24" customFormat="false" ht="12.75" hidden="false" customHeight="false" outlineLevel="0" collapsed="false">
      <c r="B24" s="111" t="s">
        <v>340</v>
      </c>
      <c r="C24" s="111"/>
      <c r="D24" s="111"/>
      <c r="F24" s="111"/>
      <c r="M24" s="111"/>
      <c r="N24" s="111" t="s">
        <v>580</v>
      </c>
      <c r="O24" s="318" t="s">
        <v>581</v>
      </c>
      <c r="V24" s="111" t="s">
        <v>582</v>
      </c>
    </row>
    <row r="25" customFormat="false" ht="12.75" hidden="false" customHeight="false" outlineLevel="0" collapsed="false">
      <c r="B25" s="111"/>
      <c r="C25" s="111"/>
      <c r="D25" s="111"/>
      <c r="E25" s="111"/>
      <c r="F25" s="111"/>
      <c r="M25" s="111"/>
      <c r="N25" s="111" t="s">
        <v>583</v>
      </c>
      <c r="O25" s="318" t="s">
        <v>584</v>
      </c>
      <c r="V25" s="111" t="s">
        <v>585</v>
      </c>
    </row>
    <row r="26" customFormat="false" ht="12.75" hidden="false" customHeight="false" outlineLevel="0" collapsed="false">
      <c r="B26" s="111"/>
      <c r="C26" s="111"/>
      <c r="D26" s="111"/>
      <c r="E26" s="111"/>
      <c r="F26" s="111"/>
      <c r="M26" s="111"/>
      <c r="N26" s="111" t="s">
        <v>586</v>
      </c>
      <c r="O26" s="318" t="s">
        <v>587</v>
      </c>
      <c r="V26" s="111" t="s">
        <v>588</v>
      </c>
    </row>
    <row r="27" customFormat="false" ht="12.75" hidden="false" customHeight="false" outlineLevel="0" collapsed="false">
      <c r="A27" s="111"/>
      <c r="B27" s="111"/>
      <c r="C27" s="111"/>
      <c r="D27" s="111"/>
      <c r="E27" s="111"/>
      <c r="F27" s="111"/>
      <c r="M27" s="111"/>
      <c r="N27" s="111" t="s">
        <v>589</v>
      </c>
      <c r="O27" s="318" t="s">
        <v>590</v>
      </c>
      <c r="V27" s="111" t="s">
        <v>591</v>
      </c>
    </row>
    <row r="28" customFormat="false" ht="12.75" hidden="false" customHeight="false" outlineLevel="0" collapsed="false">
      <c r="A28" s="111"/>
      <c r="B28" s="111"/>
      <c r="C28" s="111"/>
      <c r="D28" s="111"/>
      <c r="E28" s="111"/>
      <c r="F28" s="111"/>
      <c r="M28" s="111"/>
      <c r="N28" s="111" t="s">
        <v>592</v>
      </c>
      <c r="O28" s="318" t="s">
        <v>593</v>
      </c>
      <c r="V28" s="111" t="s">
        <v>594</v>
      </c>
    </row>
    <row r="29" customFormat="false" ht="12.75" hidden="false" customHeight="false" outlineLevel="0" collapsed="false">
      <c r="A29" s="111"/>
      <c r="B29" s="111"/>
      <c r="C29" s="111"/>
      <c r="D29" s="111"/>
      <c r="E29" s="111"/>
      <c r="F29" s="111"/>
      <c r="M29" s="111"/>
      <c r="N29" s="111" t="s">
        <v>595</v>
      </c>
      <c r="O29" s="318" t="s">
        <v>596</v>
      </c>
      <c r="V29" s="111" t="s">
        <v>597</v>
      </c>
    </row>
    <row r="30" customFormat="false" ht="12.75" hidden="false" customHeight="false" outlineLevel="0" collapsed="false">
      <c r="B30" s="111" t="s">
        <v>598</v>
      </c>
      <c r="C30" s="319" t="str">
        <f aca="false">'Energibalansrapport proj'!D5</f>
        <v>Stockholm</v>
      </c>
      <c r="D30" s="111"/>
      <c r="E30" s="111"/>
      <c r="F30" s="111"/>
      <c r="G30" s="44"/>
      <c r="M30" s="111"/>
      <c r="N30" s="111" t="s">
        <v>599</v>
      </c>
      <c r="O30" s="318" t="s">
        <v>600</v>
      </c>
      <c r="V30" s="111" t="s">
        <v>601</v>
      </c>
    </row>
    <row r="31" customFormat="false" ht="12.75" hidden="false" customHeight="false" outlineLevel="0" collapsed="false">
      <c r="A31" s="111"/>
      <c r="B31" s="111" t="s">
        <v>602</v>
      </c>
      <c r="C31" s="319" t="str">
        <f aca="false">'Energibalansrapport proj'!D6</f>
        <v>Stockholm</v>
      </c>
      <c r="D31" s="111"/>
      <c r="E31" s="111"/>
      <c r="F31" s="111"/>
      <c r="G31" s="44"/>
      <c r="M31" s="111"/>
      <c r="N31" s="111" t="s">
        <v>603</v>
      </c>
      <c r="O31" s="318" t="s">
        <v>604</v>
      </c>
      <c r="V31" s="111" t="s">
        <v>605</v>
      </c>
    </row>
    <row r="32" customFormat="false" ht="12.75" hidden="false" customHeight="false" outlineLevel="0" collapsed="false">
      <c r="A32" s="111"/>
      <c r="B32" s="111" t="s">
        <v>177</v>
      </c>
      <c r="C32" s="111" t="n">
        <f aca="false">VLOOKUP(C31,FgeoVlookup,2,FALSE())</f>
        <v>1</v>
      </c>
      <c r="D32" s="111"/>
      <c r="E32" s="111"/>
      <c r="F32" s="111"/>
      <c r="G32" s="44"/>
      <c r="M32" s="111"/>
      <c r="N32" s="111" t="s">
        <v>606</v>
      </c>
      <c r="O32" s="111"/>
      <c r="V32" s="111" t="s">
        <v>607</v>
      </c>
    </row>
    <row r="33" customFormat="false" ht="12.75" hidden="false" customHeight="false" outlineLevel="0" collapsed="false">
      <c r="A33" s="111"/>
      <c r="B33" s="111"/>
      <c r="D33" s="111"/>
      <c r="E33" s="111"/>
      <c r="F33" s="111"/>
      <c r="M33" s="111"/>
      <c r="N33" s="111" t="s">
        <v>608</v>
      </c>
      <c r="O33" s="111"/>
      <c r="V33" s="111" t="s">
        <v>609</v>
      </c>
    </row>
    <row r="34" customFormat="false" ht="15" hidden="false" customHeight="false" outlineLevel="0" collapsed="false">
      <c r="E34" s="111"/>
      <c r="N34" s="320" t="s">
        <v>610</v>
      </c>
      <c r="V34" s="111" t="s">
        <v>611</v>
      </c>
    </row>
    <row r="35" customFormat="false" ht="12.75" hidden="false" customHeight="false" outlineLevel="0" collapsed="false">
      <c r="N35" s="111" t="s">
        <v>612</v>
      </c>
      <c r="O35" s="111"/>
      <c r="V35" s="111" t="s">
        <v>613</v>
      </c>
    </row>
    <row r="36" customFormat="false" ht="12.75" hidden="false" customHeight="false" outlineLevel="0" collapsed="false">
      <c r="A36" s="111"/>
      <c r="B36" s="111"/>
      <c r="D36" s="319"/>
      <c r="F36" s="319"/>
      <c r="M36" s="111"/>
      <c r="N36" s="111" t="s">
        <v>614</v>
      </c>
      <c r="O36" s="111"/>
      <c r="V36" s="111" t="s">
        <v>615</v>
      </c>
    </row>
    <row r="37" customFormat="false" ht="12.75" hidden="false" customHeight="false" outlineLevel="0" collapsed="false">
      <c r="A37" s="111"/>
      <c r="D37" s="111"/>
      <c r="E37" s="319"/>
      <c r="F37" s="111"/>
      <c r="M37" s="111"/>
      <c r="N37" s="111"/>
      <c r="O37" s="111"/>
      <c r="V37" s="111" t="s">
        <v>616</v>
      </c>
    </row>
    <row r="38" customFormat="false" ht="12.75" hidden="false" customHeight="false" outlineLevel="0" collapsed="false">
      <c r="A38" s="111"/>
      <c r="E38" s="111"/>
      <c r="M38" s="111"/>
      <c r="N38" s="111"/>
      <c r="O38" s="111"/>
      <c r="V38" s="111" t="s">
        <v>617</v>
      </c>
    </row>
    <row r="39" customFormat="false" ht="12.75" hidden="false" customHeight="false" outlineLevel="0" collapsed="false">
      <c r="A39" s="111"/>
      <c r="M39" s="111"/>
      <c r="N39" s="111"/>
      <c r="O39" s="111"/>
      <c r="V39" s="111" t="s">
        <v>618</v>
      </c>
    </row>
    <row r="40" customFormat="false" ht="12.75" hidden="false" customHeight="false" outlineLevel="0" collapsed="false">
      <c r="A40" s="111"/>
      <c r="M40" s="111"/>
      <c r="N40" s="111"/>
      <c r="O40" s="111"/>
      <c r="V40" s="111" t="s">
        <v>619</v>
      </c>
    </row>
    <row r="41" customFormat="false" ht="15" hidden="false" customHeight="false" outlineLevel="0" collapsed="false">
      <c r="A41" s="111" t="s">
        <v>620</v>
      </c>
      <c r="B41" s="111" t="s">
        <v>621</v>
      </c>
      <c r="C41" s="321" t="s">
        <v>622</v>
      </c>
      <c r="D41" s="321" t="s">
        <v>623</v>
      </c>
      <c r="F41" s="321" t="s">
        <v>624</v>
      </c>
      <c r="G41" s="321" t="s">
        <v>625</v>
      </c>
      <c r="H41" s="321" t="s">
        <v>626</v>
      </c>
      <c r="I41" s="321" t="s">
        <v>627</v>
      </c>
      <c r="J41" s="321" t="s">
        <v>628</v>
      </c>
      <c r="K41" s="321" t="s">
        <v>629</v>
      </c>
      <c r="L41" s="321" t="s">
        <v>630</v>
      </c>
      <c r="M41" s="321" t="s">
        <v>631</v>
      </c>
      <c r="N41" s="321" t="s">
        <v>632</v>
      </c>
      <c r="O41" s="321" t="s">
        <v>633</v>
      </c>
      <c r="P41" s="321" t="s">
        <v>634</v>
      </c>
      <c r="Q41" s="321" t="s">
        <v>635</v>
      </c>
      <c r="R41" s="322" t="s">
        <v>177</v>
      </c>
      <c r="V41" s="111" t="s">
        <v>636</v>
      </c>
    </row>
    <row r="42" customFormat="false" ht="15" hidden="false" customHeight="false" outlineLevel="0" collapsed="false">
      <c r="A42" s="111" t="str">
        <f aca="false">VLOOKUP($C$31,DVUT_TABLE,1,FALSE())</f>
        <v>Stockholm</v>
      </c>
      <c r="B42" s="0" t="str">
        <f aca="false">VLOOKUP($C$31,DVUT_TABLE,2,FALSE())</f>
        <v>Stockholm</v>
      </c>
      <c r="C42" s="0" t="n">
        <f aca="false">VLOOKUP($C$31,DVUT_TABLE,3,FALSE())</f>
        <v>102612</v>
      </c>
      <c r="D42" s="0" t="n">
        <f aca="false">VLOOKUP($C$31,DVUT_TABLE,4,FALSE())</f>
        <v>59.28</v>
      </c>
      <c r="E42" s="321"/>
      <c r="F42" s="0" t="n">
        <f aca="false">VLOOKUP($C$31,DVUT_TABLE,6,FALSE())</f>
        <v>-15.5</v>
      </c>
      <c r="G42" s="0" t="n">
        <f aca="false">VLOOKUP($C$31,DVUT_TABLE,7,FALSE())</f>
        <v>-14.9</v>
      </c>
      <c r="H42" s="0" t="n">
        <f aca="false">VLOOKUP($C$31,DVUT_TABLE,8,FALSE())</f>
        <v>-14.4</v>
      </c>
      <c r="I42" s="0" t="n">
        <f aca="false">VLOOKUP($C$31,DVUT_TABLE,9,FALSE())</f>
        <v>-13.7</v>
      </c>
      <c r="J42" s="0" t="n">
        <f aca="false">VLOOKUP($C$31,DVUT_TABLE,10,FALSE())</f>
        <v>-13.1</v>
      </c>
      <c r="K42" s="0" t="n">
        <f aca="false">VLOOKUP($C$31,DVUT_TABLE,11,FALSE())</f>
        <v>-12.8</v>
      </c>
      <c r="L42" s="0" t="n">
        <f aca="false">VLOOKUP($C$31,DVUT_TABLE,12,FALSE())</f>
        <v>-12.7</v>
      </c>
      <c r="M42" s="0" t="n">
        <f aca="false">VLOOKUP($C$31,DVUT_TABLE,13,FALSE())</f>
        <v>-12.4</v>
      </c>
      <c r="N42" s="0" t="n">
        <f aca="false">VLOOKUP($C$31,DVUT_TABLE,14,FALSE())</f>
        <v>-11.9</v>
      </c>
      <c r="O42" s="0" t="n">
        <f aca="false">VLOOKUP($C$31,DVUT_TABLE,15,FALSE())</f>
        <v>-11.9</v>
      </c>
      <c r="P42" s="0" t="n">
        <f aca="false">VLOOKUP($C$31,DVUT_TABLE,16,FALSE())</f>
        <v>-11.6</v>
      </c>
      <c r="Q42" s="0" t="n">
        <f aca="false">VLOOKUP($C$31,DVUT_TABLE,17,FALSE())</f>
        <v>-11.4</v>
      </c>
      <c r="R42" s="0" t="n">
        <f aca="false">VLOOKUP($C$31,DVUT_TABLE,18,FALSE())</f>
        <v>1</v>
      </c>
      <c r="V42" s="111" t="s">
        <v>637</v>
      </c>
    </row>
    <row r="43" customFormat="false" ht="12.75" hidden="false" customHeight="false" outlineLevel="0" collapsed="false">
      <c r="A43" s="111"/>
      <c r="M43" s="111"/>
      <c r="N43" s="111"/>
      <c r="O43" s="111"/>
      <c r="V43" s="111" t="s">
        <v>638</v>
      </c>
    </row>
    <row r="44" customFormat="false" ht="12.75" hidden="false" customHeight="false" outlineLevel="0" collapsed="false">
      <c r="A44" s="111"/>
      <c r="M44" s="111"/>
      <c r="N44" s="111"/>
      <c r="O44" s="111"/>
      <c r="V44" s="111" t="s">
        <v>639</v>
      </c>
    </row>
    <row r="45" customFormat="false" ht="12.75" hidden="false" customHeight="false" outlineLevel="0" collapsed="false">
      <c r="A45" s="111"/>
      <c r="M45" s="111"/>
      <c r="N45" s="111"/>
      <c r="O45" s="111"/>
      <c r="V45" s="111" t="s">
        <v>640</v>
      </c>
    </row>
    <row r="46" customFormat="false" ht="12.75" hidden="false" customHeight="false" outlineLevel="0" collapsed="false">
      <c r="A46" s="111"/>
      <c r="M46" s="111"/>
      <c r="N46" s="111"/>
      <c r="O46" s="111"/>
      <c r="V46" s="111" t="s">
        <v>641</v>
      </c>
    </row>
    <row r="47" customFormat="false" ht="12.75" hidden="false" customHeight="false" outlineLevel="0" collapsed="false">
      <c r="A47" s="111"/>
      <c r="M47" s="111"/>
      <c r="N47" s="111"/>
      <c r="O47" s="111"/>
      <c r="V47" s="111" t="s">
        <v>642</v>
      </c>
    </row>
    <row r="48" customFormat="false" ht="12.75" hidden="false" customHeight="false" outlineLevel="0" collapsed="false">
      <c r="A48" s="111"/>
      <c r="M48" s="111"/>
      <c r="N48" s="111"/>
      <c r="O48" s="111"/>
      <c r="V48" s="111" t="s">
        <v>643</v>
      </c>
    </row>
    <row r="49" customFormat="false" ht="12.75" hidden="false" customHeight="false" outlineLevel="0" collapsed="false">
      <c r="A49" s="111"/>
      <c r="M49" s="111"/>
      <c r="N49" s="111"/>
      <c r="O49" s="111"/>
      <c r="V49" s="111" t="s">
        <v>644</v>
      </c>
    </row>
    <row r="50" customFormat="false" ht="12.75" hidden="false" customHeight="false" outlineLevel="0" collapsed="false">
      <c r="M50" s="111"/>
      <c r="N50" s="111"/>
      <c r="O50" s="111"/>
      <c r="V50" s="111" t="s">
        <v>645</v>
      </c>
    </row>
    <row r="51" customFormat="false" ht="12.75" hidden="false" customHeight="false" outlineLevel="0" collapsed="false">
      <c r="M51" s="111"/>
      <c r="N51" s="111"/>
      <c r="O51" s="111"/>
      <c r="V51" s="111" t="s">
        <v>646</v>
      </c>
    </row>
    <row r="52" customFormat="false" ht="12.75" hidden="false" customHeight="false" outlineLevel="0" collapsed="false">
      <c r="M52" s="111"/>
      <c r="N52" s="111"/>
      <c r="O52" s="111"/>
      <c r="V52" s="111" t="s">
        <v>647</v>
      </c>
    </row>
    <row r="53" customFormat="false" ht="12.75" hidden="false" customHeight="false" outlineLevel="0" collapsed="false">
      <c r="M53" s="111"/>
      <c r="N53" s="111"/>
      <c r="V53" s="111"/>
    </row>
    <row r="54" customFormat="false" ht="12.75" hidden="false" customHeight="false" outlineLevel="0" collapsed="false">
      <c r="A54" s="0" t="s">
        <v>648</v>
      </c>
    </row>
    <row r="56" customFormat="false" ht="12.75" hidden="false" customHeight="false" outlineLevel="0" collapsed="false">
      <c r="B56" s="0" t="s">
        <v>649</v>
      </c>
      <c r="C56" s="0" t="s">
        <v>177</v>
      </c>
    </row>
    <row r="57" customFormat="false" ht="12.75" hidden="false" customHeight="false" outlineLevel="0" collapsed="false">
      <c r="A57" s="0" t="s">
        <v>321</v>
      </c>
      <c r="B57" s="318" t="s">
        <v>341</v>
      </c>
      <c r="C57" s="0" t="n">
        <v>0.9</v>
      </c>
    </row>
    <row r="58" customFormat="false" ht="12.75" hidden="false" customHeight="false" outlineLevel="0" collapsed="false">
      <c r="A58" s="0" t="s">
        <v>321</v>
      </c>
      <c r="B58" s="318" t="s">
        <v>362</v>
      </c>
      <c r="C58" s="0" t="n">
        <v>0.9</v>
      </c>
    </row>
    <row r="59" customFormat="false" ht="12.75" hidden="false" customHeight="false" outlineLevel="0" collapsed="false">
      <c r="A59" s="0" t="s">
        <v>321</v>
      </c>
      <c r="B59" s="318" t="s">
        <v>383</v>
      </c>
      <c r="C59" s="0" t="n">
        <v>0.9</v>
      </c>
    </row>
    <row r="60" customFormat="false" ht="12.75" hidden="false" customHeight="false" outlineLevel="0" collapsed="false">
      <c r="A60" s="0" t="s">
        <v>321</v>
      </c>
      <c r="B60" s="318" t="s">
        <v>402</v>
      </c>
      <c r="C60" s="0" t="n">
        <v>0.9</v>
      </c>
    </row>
    <row r="61" customFormat="false" ht="12.75" hidden="false" customHeight="false" outlineLevel="0" collapsed="false">
      <c r="A61" s="0" t="s">
        <v>321</v>
      </c>
      <c r="B61" s="318" t="s">
        <v>421</v>
      </c>
      <c r="C61" s="0" t="n">
        <v>0.9</v>
      </c>
    </row>
    <row r="62" customFormat="false" ht="12.75" hidden="false" customHeight="false" outlineLevel="0" collapsed="false">
      <c r="A62" s="111" t="s">
        <v>322</v>
      </c>
      <c r="B62" s="316" t="s">
        <v>342</v>
      </c>
      <c r="C62" s="0" t="n">
        <v>1.1</v>
      </c>
    </row>
    <row r="63" customFormat="false" ht="12.75" hidden="false" customHeight="false" outlineLevel="0" collapsed="false">
      <c r="A63" s="111" t="s">
        <v>322</v>
      </c>
      <c r="B63" s="316" t="s">
        <v>363</v>
      </c>
      <c r="C63" s="0" t="n">
        <v>1.1</v>
      </c>
    </row>
    <row r="64" customFormat="false" ht="12.75" hidden="false" customHeight="false" outlineLevel="0" collapsed="false">
      <c r="A64" s="111" t="s">
        <v>322</v>
      </c>
      <c r="B64" s="316" t="s">
        <v>384</v>
      </c>
      <c r="C64" s="0" t="n">
        <v>1.1</v>
      </c>
    </row>
    <row r="65" customFormat="false" ht="12.75" hidden="false" customHeight="false" outlineLevel="0" collapsed="false">
      <c r="A65" s="111" t="s">
        <v>322</v>
      </c>
      <c r="B65" s="316" t="s">
        <v>403</v>
      </c>
      <c r="C65" s="0" t="n">
        <v>1.2</v>
      </c>
    </row>
    <row r="66" customFormat="false" ht="12.75" hidden="false" customHeight="false" outlineLevel="0" collapsed="false">
      <c r="A66" s="111" t="s">
        <v>322</v>
      </c>
      <c r="B66" s="316" t="s">
        <v>422</v>
      </c>
      <c r="C66" s="0" t="n">
        <v>1.2</v>
      </c>
    </row>
    <row r="67" customFormat="false" ht="12.75" hidden="false" customHeight="false" outlineLevel="0" collapsed="false">
      <c r="A67" s="111" t="s">
        <v>322</v>
      </c>
      <c r="B67" s="316" t="s">
        <v>439</v>
      </c>
      <c r="C67" s="0" t="n">
        <v>1.2</v>
      </c>
    </row>
    <row r="68" customFormat="false" ht="12.75" hidden="false" customHeight="false" outlineLevel="0" collapsed="false">
      <c r="A68" s="111" t="s">
        <v>322</v>
      </c>
      <c r="B68" s="316" t="s">
        <v>458</v>
      </c>
      <c r="C68" s="0" t="n">
        <v>1.2</v>
      </c>
    </row>
    <row r="69" customFormat="false" ht="12.75" hidden="false" customHeight="false" outlineLevel="0" collapsed="false">
      <c r="A69" s="111" t="s">
        <v>322</v>
      </c>
      <c r="B69" s="316" t="s">
        <v>477</v>
      </c>
      <c r="C69" s="0" t="n">
        <v>1.2</v>
      </c>
    </row>
    <row r="70" customFormat="false" ht="12.75" hidden="false" customHeight="false" outlineLevel="0" collapsed="false">
      <c r="A70" s="111" t="s">
        <v>322</v>
      </c>
      <c r="B70" s="316" t="s">
        <v>493</v>
      </c>
      <c r="C70" s="0" t="n">
        <v>1.2</v>
      </c>
    </row>
    <row r="71" customFormat="false" ht="12.75" hidden="false" customHeight="false" outlineLevel="0" collapsed="false">
      <c r="A71" s="111" t="s">
        <v>322</v>
      </c>
      <c r="B71" s="316" t="s">
        <v>506</v>
      </c>
      <c r="C71" s="0" t="n">
        <v>1.2</v>
      </c>
    </row>
    <row r="72" customFormat="false" ht="12.75" hidden="false" customHeight="false" outlineLevel="0" collapsed="false">
      <c r="A72" s="111" t="s">
        <v>322</v>
      </c>
      <c r="B72" s="316" t="s">
        <v>519</v>
      </c>
      <c r="C72" s="0" t="n">
        <v>1.2</v>
      </c>
    </row>
    <row r="73" customFormat="false" ht="12.75" hidden="false" customHeight="false" outlineLevel="0" collapsed="false">
      <c r="A73" s="111" t="s">
        <v>322</v>
      </c>
      <c r="B73" s="316" t="s">
        <v>530</v>
      </c>
      <c r="C73" s="0" t="n">
        <v>1.2</v>
      </c>
    </row>
    <row r="74" customFormat="false" ht="12.75" hidden="false" customHeight="false" outlineLevel="0" collapsed="false">
      <c r="A74" s="111" t="s">
        <v>322</v>
      </c>
      <c r="B74" s="316" t="s">
        <v>541</v>
      </c>
      <c r="C74" s="0" t="n">
        <v>1.2</v>
      </c>
    </row>
    <row r="75" customFormat="false" ht="12.75" hidden="false" customHeight="false" outlineLevel="0" collapsed="false">
      <c r="A75" s="111" t="s">
        <v>322</v>
      </c>
      <c r="B75" s="316" t="s">
        <v>550</v>
      </c>
      <c r="C75" s="0" t="n">
        <v>1.3</v>
      </c>
    </row>
    <row r="76" customFormat="false" ht="12.75" hidden="false" customHeight="false" outlineLevel="0" collapsed="false">
      <c r="A76" s="111" t="s">
        <v>322</v>
      </c>
      <c r="B76" s="316" t="s">
        <v>557</v>
      </c>
      <c r="C76" s="0" t="n">
        <v>1.3</v>
      </c>
    </row>
    <row r="77" customFormat="false" ht="12.75" hidden="false" customHeight="false" outlineLevel="0" collapsed="false">
      <c r="A77" s="111" t="s">
        <v>322</v>
      </c>
      <c r="B77" s="316" t="s">
        <v>563</v>
      </c>
      <c r="C77" s="0" t="n">
        <v>1.3</v>
      </c>
    </row>
    <row r="78" customFormat="false" ht="12.75" hidden="false" customHeight="false" outlineLevel="0" collapsed="false">
      <c r="A78" s="0" t="s">
        <v>323</v>
      </c>
      <c r="B78" s="318" t="s">
        <v>343</v>
      </c>
      <c r="C78" s="0" t="n">
        <v>0.9</v>
      </c>
    </row>
    <row r="79" customFormat="false" ht="12.75" hidden="false" customHeight="false" outlineLevel="0" collapsed="false">
      <c r="A79" s="0" t="s">
        <v>323</v>
      </c>
      <c r="B79" s="318" t="s">
        <v>364</v>
      </c>
      <c r="C79" s="0" t="n">
        <v>0.9</v>
      </c>
    </row>
    <row r="80" customFormat="false" ht="12.75" hidden="false" customHeight="false" outlineLevel="0" collapsed="false">
      <c r="A80" s="111" t="s">
        <v>324</v>
      </c>
      <c r="B80" s="316" t="s">
        <v>344</v>
      </c>
      <c r="C80" s="0" t="n">
        <v>1.1</v>
      </c>
    </row>
    <row r="81" customFormat="false" ht="12.75" hidden="false" customHeight="false" outlineLevel="0" collapsed="false">
      <c r="A81" s="111" t="s">
        <v>324</v>
      </c>
      <c r="B81" s="316" t="s">
        <v>365</v>
      </c>
      <c r="C81" s="0" t="n">
        <v>1.1</v>
      </c>
    </row>
    <row r="82" customFormat="false" ht="12.75" hidden="false" customHeight="false" outlineLevel="0" collapsed="false">
      <c r="A82" s="111" t="s">
        <v>324</v>
      </c>
      <c r="B82" s="316" t="s">
        <v>385</v>
      </c>
      <c r="C82" s="0" t="n">
        <v>1.1</v>
      </c>
    </row>
    <row r="83" customFormat="false" ht="12.75" hidden="false" customHeight="false" outlineLevel="0" collapsed="false">
      <c r="A83" s="111" t="s">
        <v>324</v>
      </c>
      <c r="B83" s="316" t="s">
        <v>404</v>
      </c>
      <c r="C83" s="0" t="n">
        <v>1.2</v>
      </c>
    </row>
    <row r="84" customFormat="false" ht="12.75" hidden="false" customHeight="false" outlineLevel="0" collapsed="false">
      <c r="A84" s="111" t="s">
        <v>324</v>
      </c>
      <c r="B84" s="316" t="s">
        <v>423</v>
      </c>
      <c r="C84" s="0" t="n">
        <v>1.2</v>
      </c>
    </row>
    <row r="85" customFormat="false" ht="12.75" hidden="false" customHeight="false" outlineLevel="0" collapsed="false">
      <c r="A85" s="111" t="s">
        <v>324</v>
      </c>
      <c r="B85" s="316" t="s">
        <v>440</v>
      </c>
      <c r="C85" s="0" t="n">
        <v>1.2</v>
      </c>
    </row>
    <row r="86" customFormat="false" ht="12.75" hidden="false" customHeight="false" outlineLevel="0" collapsed="false">
      <c r="A86" s="111" t="s">
        <v>324</v>
      </c>
      <c r="B86" s="316" t="s">
        <v>459</v>
      </c>
      <c r="C86" s="0" t="n">
        <v>1.2</v>
      </c>
    </row>
    <row r="87" customFormat="false" ht="12.75" hidden="false" customHeight="false" outlineLevel="0" collapsed="false">
      <c r="A87" s="111" t="s">
        <v>324</v>
      </c>
      <c r="B87" s="316" t="s">
        <v>478</v>
      </c>
      <c r="C87" s="0" t="n">
        <v>1.2</v>
      </c>
    </row>
    <row r="88" customFormat="false" ht="12.75" hidden="false" customHeight="false" outlineLevel="0" collapsed="false">
      <c r="A88" s="111" t="s">
        <v>324</v>
      </c>
      <c r="B88" s="316" t="s">
        <v>494</v>
      </c>
      <c r="C88" s="0" t="n">
        <v>1.3</v>
      </c>
    </row>
    <row r="89" customFormat="false" ht="12.75" hidden="false" customHeight="false" outlineLevel="0" collapsed="false">
      <c r="A89" s="111" t="s">
        <v>324</v>
      </c>
      <c r="B89" s="316" t="s">
        <v>507</v>
      </c>
      <c r="C89" s="0" t="n">
        <v>1.3</v>
      </c>
    </row>
    <row r="90" customFormat="false" ht="12.75" hidden="false" customHeight="false" outlineLevel="0" collapsed="false">
      <c r="A90" s="0" t="s">
        <v>325</v>
      </c>
      <c r="B90" s="318" t="s">
        <v>345</v>
      </c>
      <c r="C90" s="0" t="n">
        <v>0.9</v>
      </c>
    </row>
    <row r="91" customFormat="false" ht="12.75" hidden="false" customHeight="false" outlineLevel="0" collapsed="false">
      <c r="A91" s="0" t="s">
        <v>325</v>
      </c>
      <c r="B91" s="318" t="s">
        <v>366</v>
      </c>
      <c r="C91" s="0" t="n">
        <v>0.9</v>
      </c>
    </row>
    <row r="92" customFormat="false" ht="12.75" hidden="false" customHeight="false" outlineLevel="0" collapsed="false">
      <c r="A92" s="0" t="s">
        <v>325</v>
      </c>
      <c r="B92" s="318" t="s">
        <v>386</v>
      </c>
      <c r="C92" s="0" t="n">
        <v>0.9</v>
      </c>
    </row>
    <row r="93" customFormat="false" ht="12.75" hidden="false" customHeight="false" outlineLevel="0" collapsed="false">
      <c r="A93" s="0" t="s">
        <v>325</v>
      </c>
      <c r="B93" s="318" t="s">
        <v>405</v>
      </c>
      <c r="C93" s="0" t="n">
        <v>0.9</v>
      </c>
    </row>
    <row r="94" customFormat="false" ht="12.75" hidden="false" customHeight="false" outlineLevel="0" collapsed="false">
      <c r="A94" s="0" t="s">
        <v>325</v>
      </c>
      <c r="B94" s="318" t="s">
        <v>424</v>
      </c>
      <c r="C94" s="0" t="n">
        <v>0.9</v>
      </c>
    </row>
    <row r="95" customFormat="false" ht="12.75" hidden="false" customHeight="false" outlineLevel="0" collapsed="false">
      <c r="A95" s="0" t="s">
        <v>325</v>
      </c>
      <c r="B95" s="318" t="s">
        <v>441</v>
      </c>
      <c r="C95" s="0" t="n">
        <v>0.9</v>
      </c>
    </row>
    <row r="96" customFormat="false" ht="12.75" hidden="false" customHeight="false" outlineLevel="0" collapsed="false">
      <c r="A96" s="0" t="s">
        <v>325</v>
      </c>
      <c r="B96" s="0" t="s">
        <v>460</v>
      </c>
      <c r="C96" s="0" t="n">
        <v>1</v>
      </c>
    </row>
    <row r="97" customFormat="false" ht="12.75" hidden="false" customHeight="false" outlineLevel="0" collapsed="false">
      <c r="A97" s="111" t="s">
        <v>326</v>
      </c>
      <c r="B97" s="111" t="s">
        <v>346</v>
      </c>
      <c r="C97" s="0" t="n">
        <v>1.4</v>
      </c>
    </row>
    <row r="98" customFormat="false" ht="12.75" hidden="false" customHeight="false" outlineLevel="0" collapsed="false">
      <c r="A98" s="111" t="s">
        <v>326</v>
      </c>
      <c r="B98" s="111" t="s">
        <v>367</v>
      </c>
      <c r="C98" s="0" t="n">
        <v>1.4</v>
      </c>
    </row>
    <row r="99" customFormat="false" ht="12.75" hidden="false" customHeight="false" outlineLevel="0" collapsed="false">
      <c r="A99" s="111" t="s">
        <v>326</v>
      </c>
      <c r="B99" s="111" t="s">
        <v>387</v>
      </c>
      <c r="C99" s="0" t="n">
        <v>1.4</v>
      </c>
    </row>
    <row r="100" customFormat="false" ht="12.75" hidden="false" customHeight="false" outlineLevel="0" collapsed="false">
      <c r="A100" s="111" t="s">
        <v>326</v>
      </c>
      <c r="B100" s="111" t="s">
        <v>406</v>
      </c>
      <c r="C100" s="0" t="n">
        <v>1.4</v>
      </c>
    </row>
    <row r="101" customFormat="false" ht="12.75" hidden="false" customHeight="false" outlineLevel="0" collapsed="false">
      <c r="A101" s="111" t="s">
        <v>326</v>
      </c>
      <c r="B101" s="111" t="s">
        <v>425</v>
      </c>
      <c r="C101" s="0" t="n">
        <v>1.5</v>
      </c>
    </row>
    <row r="102" customFormat="false" ht="12.75" hidden="false" customHeight="false" outlineLevel="0" collapsed="false">
      <c r="A102" s="111" t="s">
        <v>326</v>
      </c>
      <c r="B102" s="111" t="s">
        <v>442</v>
      </c>
      <c r="C102" s="0" t="n">
        <v>1.5</v>
      </c>
    </row>
    <row r="103" customFormat="false" ht="12.75" hidden="false" customHeight="false" outlineLevel="0" collapsed="false">
      <c r="A103" s="111" t="s">
        <v>326</v>
      </c>
      <c r="B103" s="111" t="s">
        <v>461</v>
      </c>
      <c r="C103" s="0" t="n">
        <v>1.5</v>
      </c>
    </row>
    <row r="104" customFormat="false" ht="12.75" hidden="false" customHeight="false" outlineLevel="0" collapsed="false">
      <c r="A104" s="111" t="s">
        <v>326</v>
      </c>
      <c r="B104" s="111" t="s">
        <v>479</v>
      </c>
      <c r="C104" s="0" t="n">
        <v>1.6</v>
      </c>
    </row>
    <row r="105" customFormat="false" ht="12.75" hidden="false" customHeight="false" outlineLevel="0" collapsed="false">
      <c r="A105" s="111" t="s">
        <v>327</v>
      </c>
      <c r="B105" s="111" t="s">
        <v>347</v>
      </c>
      <c r="C105" s="0" t="n">
        <v>1</v>
      </c>
    </row>
    <row r="106" customFormat="false" ht="12.75" hidden="false" customHeight="false" outlineLevel="0" collapsed="false">
      <c r="A106" s="111" t="s">
        <v>327</v>
      </c>
      <c r="B106" s="111" t="s">
        <v>368</v>
      </c>
      <c r="C106" s="0" t="n">
        <v>1</v>
      </c>
    </row>
    <row r="107" customFormat="false" ht="12.75" hidden="false" customHeight="false" outlineLevel="0" collapsed="false">
      <c r="A107" s="111" t="s">
        <v>327</v>
      </c>
      <c r="B107" s="111" t="s">
        <v>388</v>
      </c>
      <c r="C107" s="0" t="n">
        <v>1</v>
      </c>
    </row>
    <row r="108" customFormat="false" ht="12.75" hidden="false" customHeight="false" outlineLevel="0" collapsed="false">
      <c r="A108" s="111" t="s">
        <v>327</v>
      </c>
      <c r="B108" s="111" t="s">
        <v>407</v>
      </c>
      <c r="C108" s="0" t="n">
        <v>1</v>
      </c>
    </row>
    <row r="109" customFormat="false" ht="12.75" hidden="false" customHeight="false" outlineLevel="0" collapsed="false">
      <c r="A109" s="111" t="s">
        <v>327</v>
      </c>
      <c r="B109" s="111" t="s">
        <v>327</v>
      </c>
      <c r="C109" s="0" t="n">
        <v>1</v>
      </c>
    </row>
    <row r="110" customFormat="false" ht="12.75" hidden="false" customHeight="false" outlineLevel="0" collapsed="false">
      <c r="A110" s="111" t="s">
        <v>327</v>
      </c>
      <c r="B110" s="111" t="s">
        <v>443</v>
      </c>
      <c r="C110" s="0" t="n">
        <v>1</v>
      </c>
    </row>
    <row r="111" customFormat="false" ht="12.75" hidden="false" customHeight="false" outlineLevel="0" collapsed="false">
      <c r="A111" s="111" t="s">
        <v>327</v>
      </c>
      <c r="B111" s="111" t="s">
        <v>462</v>
      </c>
      <c r="C111" s="0" t="n">
        <v>1</v>
      </c>
    </row>
    <row r="112" customFormat="false" ht="12.75" hidden="false" customHeight="false" outlineLevel="0" collapsed="false">
      <c r="A112" s="111" t="s">
        <v>327</v>
      </c>
      <c r="B112" s="111" t="s">
        <v>480</v>
      </c>
      <c r="C112" s="0" t="n">
        <v>1</v>
      </c>
    </row>
    <row r="113" customFormat="false" ht="12.75" hidden="false" customHeight="false" outlineLevel="0" collapsed="false">
      <c r="A113" s="111" t="s">
        <v>327</v>
      </c>
      <c r="B113" s="111" t="s">
        <v>495</v>
      </c>
      <c r="C113" s="0" t="n">
        <v>1</v>
      </c>
    </row>
    <row r="114" customFormat="false" ht="12.75" hidden="false" customHeight="false" outlineLevel="0" collapsed="false">
      <c r="A114" s="111" t="s">
        <v>327</v>
      </c>
      <c r="B114" s="111" t="s">
        <v>508</v>
      </c>
      <c r="C114" s="0" t="n">
        <v>1</v>
      </c>
    </row>
    <row r="115" customFormat="false" ht="12.75" hidden="false" customHeight="false" outlineLevel="0" collapsed="false">
      <c r="A115" s="111" t="s">
        <v>327</v>
      </c>
      <c r="B115" s="111" t="s">
        <v>520</v>
      </c>
      <c r="C115" s="0" t="n">
        <v>1.1</v>
      </c>
    </row>
    <row r="116" customFormat="false" ht="12.75" hidden="false" customHeight="false" outlineLevel="0" collapsed="false">
      <c r="A116" s="111" t="s">
        <v>327</v>
      </c>
      <c r="B116" s="111" t="s">
        <v>531</v>
      </c>
      <c r="C116" s="0" t="n">
        <v>1.1</v>
      </c>
    </row>
    <row r="117" customFormat="false" ht="12.75" hidden="false" customHeight="false" outlineLevel="0" collapsed="false">
      <c r="A117" s="111" t="s">
        <v>327</v>
      </c>
      <c r="B117" s="111" t="s">
        <v>542</v>
      </c>
      <c r="C117" s="0" t="n">
        <v>1.1</v>
      </c>
    </row>
    <row r="118" customFormat="false" ht="12.75" hidden="false" customHeight="false" outlineLevel="0" collapsed="false">
      <c r="A118" s="111" t="s">
        <v>328</v>
      </c>
      <c r="B118" s="111" t="s">
        <v>348</v>
      </c>
      <c r="C118" s="0" t="n">
        <v>0.9</v>
      </c>
    </row>
    <row r="119" customFormat="false" ht="12.75" hidden="false" customHeight="false" outlineLevel="0" collapsed="false">
      <c r="A119" s="111" t="s">
        <v>328</v>
      </c>
      <c r="B119" s="111" t="s">
        <v>369</v>
      </c>
      <c r="C119" s="0" t="n">
        <v>0.9</v>
      </c>
    </row>
    <row r="120" customFormat="false" ht="12.75" hidden="false" customHeight="false" outlineLevel="0" collapsed="false">
      <c r="A120" s="111" t="s">
        <v>328</v>
      </c>
      <c r="B120" s="111" t="s">
        <v>328</v>
      </c>
      <c r="C120" s="0" t="n">
        <v>0.9</v>
      </c>
    </row>
    <row r="121" customFormat="false" ht="12.75" hidden="false" customHeight="false" outlineLevel="0" collapsed="false">
      <c r="A121" s="111" t="s">
        <v>328</v>
      </c>
      <c r="B121" s="111" t="s">
        <v>408</v>
      </c>
      <c r="C121" s="0" t="n">
        <v>0.9</v>
      </c>
    </row>
    <row r="122" customFormat="false" ht="12.75" hidden="false" customHeight="false" outlineLevel="0" collapsed="false">
      <c r="A122" s="111" t="s">
        <v>328</v>
      </c>
      <c r="B122" s="111" t="s">
        <v>426</v>
      </c>
      <c r="C122" s="0" t="n">
        <v>0.9</v>
      </c>
    </row>
    <row r="123" customFormat="false" ht="12.75" hidden="false" customHeight="false" outlineLevel="0" collapsed="false">
      <c r="A123" s="111" t="s">
        <v>328</v>
      </c>
      <c r="B123" s="111" t="s">
        <v>444</v>
      </c>
      <c r="C123" s="0" t="n">
        <v>0.9</v>
      </c>
    </row>
    <row r="124" customFormat="false" ht="12.75" hidden="false" customHeight="false" outlineLevel="0" collapsed="false">
      <c r="A124" s="111" t="s">
        <v>328</v>
      </c>
      <c r="B124" s="111" t="s">
        <v>463</v>
      </c>
      <c r="C124" s="0" t="n">
        <v>0.9</v>
      </c>
    </row>
    <row r="125" customFormat="false" ht="12.75" hidden="false" customHeight="false" outlineLevel="0" collapsed="false">
      <c r="A125" s="111" t="s">
        <v>328</v>
      </c>
      <c r="B125" s="111" t="s">
        <v>481</v>
      </c>
      <c r="C125" s="0" t="n">
        <v>0.9</v>
      </c>
    </row>
    <row r="126" customFormat="false" ht="12.75" hidden="false" customHeight="false" outlineLevel="0" collapsed="false">
      <c r="A126" s="111" t="s">
        <v>328</v>
      </c>
      <c r="B126" s="111" t="s">
        <v>496</v>
      </c>
      <c r="C126" s="0" t="n">
        <v>0.9</v>
      </c>
    </row>
    <row r="127" customFormat="false" ht="12.75" hidden="false" customHeight="false" outlineLevel="0" collapsed="false">
      <c r="A127" s="111" t="s">
        <v>328</v>
      </c>
      <c r="B127" s="111" t="s">
        <v>509</v>
      </c>
      <c r="C127" s="0" t="n">
        <v>1</v>
      </c>
    </row>
    <row r="128" customFormat="false" ht="12.75" hidden="false" customHeight="false" outlineLevel="0" collapsed="false">
      <c r="A128" s="111" t="s">
        <v>328</v>
      </c>
      <c r="B128" s="111" t="s">
        <v>521</v>
      </c>
      <c r="C128" s="0" t="n">
        <v>1</v>
      </c>
    </row>
    <row r="129" customFormat="false" ht="12.75" hidden="false" customHeight="false" outlineLevel="0" collapsed="false">
      <c r="A129" s="111" t="s">
        <v>328</v>
      </c>
      <c r="B129" s="111" t="s">
        <v>532</v>
      </c>
      <c r="C129" s="0" t="n">
        <v>1</v>
      </c>
    </row>
    <row r="130" customFormat="false" ht="12.75" hidden="false" customHeight="false" outlineLevel="0" collapsed="false">
      <c r="A130" s="111" t="s">
        <v>329</v>
      </c>
      <c r="B130" s="318" t="s">
        <v>349</v>
      </c>
      <c r="C130" s="0" t="n">
        <v>1</v>
      </c>
    </row>
    <row r="131" customFormat="false" ht="12.75" hidden="false" customHeight="false" outlineLevel="0" collapsed="false">
      <c r="A131" s="111" t="s">
        <v>329</v>
      </c>
      <c r="B131" s="318" t="s">
        <v>370</v>
      </c>
      <c r="C131" s="0" t="n">
        <v>1</v>
      </c>
    </row>
    <row r="132" customFormat="false" ht="12.75" hidden="false" customHeight="false" outlineLevel="0" collapsed="false">
      <c r="A132" s="111" t="s">
        <v>329</v>
      </c>
      <c r="B132" s="318" t="s">
        <v>389</v>
      </c>
      <c r="C132" s="0" t="n">
        <v>1</v>
      </c>
    </row>
    <row r="133" customFormat="false" ht="12.75" hidden="false" customHeight="false" outlineLevel="0" collapsed="false">
      <c r="A133" s="111" t="s">
        <v>329</v>
      </c>
      <c r="B133" s="318" t="s">
        <v>409</v>
      </c>
      <c r="C133" s="0" t="n">
        <v>1</v>
      </c>
    </row>
    <row r="134" customFormat="false" ht="12.75" hidden="false" customHeight="false" outlineLevel="0" collapsed="false">
      <c r="A134" s="111" t="s">
        <v>329</v>
      </c>
      <c r="B134" s="318" t="s">
        <v>427</v>
      </c>
      <c r="C134" s="0" t="n">
        <v>1</v>
      </c>
    </row>
    <row r="135" customFormat="false" ht="12.75" hidden="false" customHeight="false" outlineLevel="0" collapsed="false">
      <c r="A135" s="111" t="s">
        <v>329</v>
      </c>
      <c r="B135" s="318" t="s">
        <v>445</v>
      </c>
      <c r="C135" s="0" t="n">
        <v>1</v>
      </c>
    </row>
    <row r="136" customFormat="false" ht="12.75" hidden="false" customHeight="false" outlineLevel="0" collapsed="false">
      <c r="A136" s="111" t="s">
        <v>329</v>
      </c>
      <c r="B136" s="318" t="s">
        <v>464</v>
      </c>
      <c r="C136" s="0" t="n">
        <v>1</v>
      </c>
    </row>
    <row r="137" customFormat="false" ht="12.75" hidden="false" customHeight="false" outlineLevel="0" collapsed="false">
      <c r="A137" s="111" t="s">
        <v>330</v>
      </c>
      <c r="B137" s="111" t="s">
        <v>350</v>
      </c>
      <c r="C137" s="0" t="n">
        <v>1.4</v>
      </c>
    </row>
    <row r="138" customFormat="false" ht="12.75" hidden="false" customHeight="false" outlineLevel="0" collapsed="false">
      <c r="A138" s="111" t="s">
        <v>330</v>
      </c>
      <c r="B138" s="111" t="s">
        <v>371</v>
      </c>
      <c r="C138" s="0" t="n">
        <v>1.5</v>
      </c>
    </row>
    <row r="139" customFormat="false" ht="12.75" hidden="false" customHeight="false" outlineLevel="0" collapsed="false">
      <c r="A139" s="111" t="s">
        <v>330</v>
      </c>
      <c r="B139" s="111" t="s">
        <v>390</v>
      </c>
      <c r="C139" s="0" t="n">
        <v>1.5</v>
      </c>
    </row>
    <row r="140" customFormat="false" ht="12.75" hidden="false" customHeight="false" outlineLevel="0" collapsed="false">
      <c r="A140" s="111" t="s">
        <v>330</v>
      </c>
      <c r="B140" s="111" t="s">
        <v>410</v>
      </c>
      <c r="C140" s="0" t="n">
        <v>1.5</v>
      </c>
    </row>
    <row r="141" customFormat="false" ht="12.75" hidden="false" customHeight="false" outlineLevel="0" collapsed="false">
      <c r="A141" s="111" t="s">
        <v>330</v>
      </c>
      <c r="B141" s="111" t="s">
        <v>428</v>
      </c>
      <c r="C141" s="0" t="n">
        <v>1.5</v>
      </c>
    </row>
    <row r="142" customFormat="false" ht="12.75" hidden="false" customHeight="false" outlineLevel="0" collapsed="false">
      <c r="A142" s="111" t="s">
        <v>330</v>
      </c>
      <c r="B142" s="111" t="s">
        <v>446</v>
      </c>
      <c r="C142" s="0" t="n">
        <v>1.5</v>
      </c>
    </row>
    <row r="143" customFormat="false" ht="12.75" hidden="false" customHeight="false" outlineLevel="0" collapsed="false">
      <c r="A143" s="111" t="s">
        <v>330</v>
      </c>
      <c r="B143" s="111" t="s">
        <v>465</v>
      </c>
      <c r="C143" s="0" t="n">
        <v>1.6</v>
      </c>
    </row>
    <row r="144" customFormat="false" ht="12.75" hidden="false" customHeight="false" outlineLevel="0" collapsed="false">
      <c r="A144" s="111" t="s">
        <v>330</v>
      </c>
      <c r="B144" s="111" t="s">
        <v>482</v>
      </c>
      <c r="C144" s="0" t="n">
        <v>1.6</v>
      </c>
    </row>
    <row r="145" customFormat="false" ht="12.75" hidden="false" customHeight="false" outlineLevel="0" collapsed="false">
      <c r="A145" s="111" t="s">
        <v>330</v>
      </c>
      <c r="B145" s="111" t="s">
        <v>497</v>
      </c>
      <c r="C145" s="0" t="n">
        <v>1.6</v>
      </c>
    </row>
    <row r="146" customFormat="false" ht="12.75" hidden="false" customHeight="false" outlineLevel="0" collapsed="false">
      <c r="A146" s="111" t="s">
        <v>330</v>
      </c>
      <c r="B146" s="111" t="s">
        <v>510</v>
      </c>
      <c r="C146" s="0" t="n">
        <v>1.7</v>
      </c>
    </row>
    <row r="147" customFormat="false" ht="12.75" hidden="false" customHeight="false" outlineLevel="0" collapsed="false">
      <c r="A147" s="111" t="s">
        <v>330</v>
      </c>
      <c r="B147" s="111" t="s">
        <v>522</v>
      </c>
      <c r="C147" s="0" t="n">
        <v>1.7</v>
      </c>
    </row>
    <row r="148" customFormat="false" ht="12.75" hidden="false" customHeight="false" outlineLevel="0" collapsed="false">
      <c r="A148" s="111" t="s">
        <v>330</v>
      </c>
      <c r="B148" s="111" t="s">
        <v>533</v>
      </c>
      <c r="C148" s="0" t="n">
        <v>1.8</v>
      </c>
    </row>
    <row r="149" customFormat="false" ht="12.75" hidden="false" customHeight="false" outlineLevel="0" collapsed="false">
      <c r="A149" s="111" t="s">
        <v>330</v>
      </c>
      <c r="B149" s="111" t="s">
        <v>543</v>
      </c>
      <c r="C149" s="0" t="n">
        <v>1.9</v>
      </c>
    </row>
    <row r="150" customFormat="false" ht="12.75" hidden="false" customHeight="false" outlineLevel="0" collapsed="false">
      <c r="A150" s="111" t="s">
        <v>330</v>
      </c>
      <c r="B150" s="111" t="s">
        <v>551</v>
      </c>
      <c r="C150" s="0" t="n">
        <v>1.9</v>
      </c>
    </row>
    <row r="151" customFormat="false" ht="12.75" hidden="false" customHeight="false" outlineLevel="0" collapsed="false">
      <c r="A151" s="111" t="s">
        <v>331</v>
      </c>
      <c r="B151" s="111" t="s">
        <v>351</v>
      </c>
      <c r="C151" s="0" t="n">
        <v>0.8</v>
      </c>
    </row>
    <row r="152" customFormat="false" ht="12.75" hidden="false" customHeight="false" outlineLevel="0" collapsed="false">
      <c r="A152" s="111" t="s">
        <v>331</v>
      </c>
      <c r="B152" s="111" t="s">
        <v>372</v>
      </c>
      <c r="C152" s="0" t="n">
        <v>0.8</v>
      </c>
    </row>
    <row r="153" customFormat="false" ht="12.75" hidden="false" customHeight="false" outlineLevel="0" collapsed="false">
      <c r="A153" s="111" t="s">
        <v>331</v>
      </c>
      <c r="B153" s="111" t="s">
        <v>391</v>
      </c>
      <c r="C153" s="0" t="n">
        <v>0.8</v>
      </c>
    </row>
    <row r="154" customFormat="false" ht="12.75" hidden="false" customHeight="false" outlineLevel="0" collapsed="false">
      <c r="A154" s="111" t="s">
        <v>331</v>
      </c>
      <c r="B154" s="111" t="s">
        <v>411</v>
      </c>
      <c r="C154" s="0" t="n">
        <v>0.8</v>
      </c>
    </row>
    <row r="155" customFormat="false" ht="12.75" hidden="false" customHeight="false" outlineLevel="0" collapsed="false">
      <c r="A155" s="111" t="s">
        <v>331</v>
      </c>
      <c r="B155" s="111" t="s">
        <v>429</v>
      </c>
      <c r="C155" s="0" t="n">
        <v>0.8</v>
      </c>
    </row>
    <row r="156" customFormat="false" ht="12.75" hidden="false" customHeight="false" outlineLevel="0" collapsed="false">
      <c r="A156" s="111" t="s">
        <v>331</v>
      </c>
      <c r="B156" s="111" t="s">
        <v>447</v>
      </c>
      <c r="C156" s="0" t="n">
        <v>0.9</v>
      </c>
    </row>
    <row r="157" customFormat="false" ht="12.75" hidden="false" customHeight="false" outlineLevel="0" collapsed="false">
      <c r="A157" s="111" t="s">
        <v>331</v>
      </c>
      <c r="B157" s="111" t="s">
        <v>466</v>
      </c>
      <c r="C157" s="0" t="n">
        <v>0.9</v>
      </c>
    </row>
    <row r="158" customFormat="false" ht="12.75" hidden="false" customHeight="false" outlineLevel="0" collapsed="false">
      <c r="A158" s="111" t="s">
        <v>331</v>
      </c>
      <c r="B158" s="111" t="s">
        <v>483</v>
      </c>
      <c r="C158" s="0" t="n">
        <v>0.9</v>
      </c>
    </row>
    <row r="159" customFormat="false" ht="12.75" hidden="false" customHeight="false" outlineLevel="0" collapsed="false">
      <c r="A159" s="111" t="s">
        <v>331</v>
      </c>
      <c r="B159" s="111" t="s">
        <v>498</v>
      </c>
      <c r="C159" s="0" t="n">
        <v>0.9</v>
      </c>
    </row>
    <row r="160" customFormat="false" ht="12.75" hidden="false" customHeight="false" outlineLevel="0" collapsed="false">
      <c r="A160" s="111" t="s">
        <v>331</v>
      </c>
      <c r="B160" s="111" t="s">
        <v>511</v>
      </c>
      <c r="C160" s="0" t="n">
        <v>0.9</v>
      </c>
    </row>
    <row r="161" customFormat="false" ht="12.75" hidden="false" customHeight="false" outlineLevel="0" collapsed="false">
      <c r="A161" s="111" t="s">
        <v>331</v>
      </c>
      <c r="B161" s="111" t="s">
        <v>523</v>
      </c>
      <c r="C161" s="0" t="n">
        <v>0.9</v>
      </c>
    </row>
    <row r="162" customFormat="false" ht="12.75" hidden="false" customHeight="false" outlineLevel="0" collapsed="false">
      <c r="A162" s="111" t="s">
        <v>331</v>
      </c>
      <c r="B162" s="111" t="s">
        <v>534</v>
      </c>
      <c r="C162" s="0" t="n">
        <v>0.9</v>
      </c>
    </row>
    <row r="163" customFormat="false" ht="12.75" hidden="false" customHeight="false" outlineLevel="0" collapsed="false">
      <c r="A163" s="111" t="s">
        <v>331</v>
      </c>
      <c r="B163" s="111" t="s">
        <v>544</v>
      </c>
      <c r="C163" s="0" t="n">
        <v>0.9</v>
      </c>
    </row>
    <row r="164" customFormat="false" ht="12.75" hidden="false" customHeight="false" outlineLevel="0" collapsed="false">
      <c r="A164" s="111" t="s">
        <v>331</v>
      </c>
      <c r="B164" s="111" t="s">
        <v>552</v>
      </c>
      <c r="C164" s="0" t="n">
        <v>0.9</v>
      </c>
    </row>
    <row r="165" customFormat="false" ht="12.75" hidden="false" customHeight="false" outlineLevel="0" collapsed="false">
      <c r="A165" s="111" t="s">
        <v>331</v>
      </c>
      <c r="B165" s="111" t="s">
        <v>558</v>
      </c>
      <c r="C165" s="0" t="n">
        <v>0.9</v>
      </c>
    </row>
    <row r="166" customFormat="false" ht="12.75" hidden="false" customHeight="false" outlineLevel="0" collapsed="false">
      <c r="A166" s="111" t="s">
        <v>331</v>
      </c>
      <c r="B166" s="111" t="s">
        <v>564</v>
      </c>
      <c r="C166" s="0" t="n">
        <v>0.9</v>
      </c>
    </row>
    <row r="167" customFormat="false" ht="12.75" hidden="false" customHeight="false" outlineLevel="0" collapsed="false">
      <c r="A167" s="111" t="s">
        <v>331</v>
      </c>
      <c r="B167" s="111" t="s">
        <v>568</v>
      </c>
      <c r="C167" s="0" t="n">
        <v>0.9</v>
      </c>
    </row>
    <row r="168" customFormat="false" ht="12.75" hidden="false" customHeight="false" outlineLevel="0" collapsed="false">
      <c r="A168" s="111" t="s">
        <v>331</v>
      </c>
      <c r="B168" s="111" t="s">
        <v>570</v>
      </c>
      <c r="C168" s="0" t="n">
        <v>0.9</v>
      </c>
    </row>
    <row r="169" customFormat="false" ht="12.75" hidden="false" customHeight="false" outlineLevel="0" collapsed="false">
      <c r="A169" s="111" t="s">
        <v>331</v>
      </c>
      <c r="B169" s="111" t="s">
        <v>574</v>
      </c>
      <c r="C169" s="0" t="n">
        <v>0.9</v>
      </c>
    </row>
    <row r="170" customFormat="false" ht="12.75" hidden="false" customHeight="false" outlineLevel="0" collapsed="false">
      <c r="A170" s="111" t="s">
        <v>331</v>
      </c>
      <c r="B170" s="111" t="s">
        <v>577</v>
      </c>
      <c r="C170" s="0" t="n">
        <v>0.9</v>
      </c>
    </row>
    <row r="171" customFormat="false" ht="12.75" hidden="false" customHeight="false" outlineLevel="0" collapsed="false">
      <c r="A171" s="111" t="s">
        <v>331</v>
      </c>
      <c r="B171" s="111" t="s">
        <v>580</v>
      </c>
      <c r="C171" s="0" t="n">
        <v>0.9</v>
      </c>
    </row>
    <row r="172" customFormat="false" ht="12.75" hidden="false" customHeight="false" outlineLevel="0" collapsed="false">
      <c r="A172" s="111" t="s">
        <v>331</v>
      </c>
      <c r="B172" s="111" t="s">
        <v>583</v>
      </c>
      <c r="C172" s="0" t="n">
        <v>0.9</v>
      </c>
    </row>
    <row r="173" customFormat="false" ht="12.75" hidden="false" customHeight="false" outlineLevel="0" collapsed="false">
      <c r="A173" s="111" t="s">
        <v>331</v>
      </c>
      <c r="B173" s="111" t="s">
        <v>586</v>
      </c>
      <c r="C173" s="0" t="n">
        <v>0.9</v>
      </c>
    </row>
    <row r="174" customFormat="false" ht="12.75" hidden="false" customHeight="false" outlineLevel="0" collapsed="false">
      <c r="A174" s="111" t="s">
        <v>331</v>
      </c>
      <c r="B174" s="111" t="s">
        <v>589</v>
      </c>
      <c r="C174" s="0" t="n">
        <v>0.9</v>
      </c>
    </row>
    <row r="175" customFormat="false" ht="12.75" hidden="false" customHeight="false" outlineLevel="0" collapsed="false">
      <c r="A175" s="111" t="s">
        <v>331</v>
      </c>
      <c r="B175" s="111" t="s">
        <v>592</v>
      </c>
      <c r="C175" s="0" t="n">
        <v>0.9</v>
      </c>
    </row>
    <row r="176" customFormat="false" ht="12.75" hidden="false" customHeight="false" outlineLevel="0" collapsed="false">
      <c r="A176" s="111" t="s">
        <v>331</v>
      </c>
      <c r="B176" s="111" t="s">
        <v>595</v>
      </c>
      <c r="C176" s="0" t="n">
        <v>0.9</v>
      </c>
    </row>
    <row r="177" customFormat="false" ht="12.75" hidden="false" customHeight="false" outlineLevel="0" collapsed="false">
      <c r="A177" s="111" t="s">
        <v>331</v>
      </c>
      <c r="B177" s="111" t="s">
        <v>599</v>
      </c>
      <c r="C177" s="0" t="n">
        <v>0.9</v>
      </c>
    </row>
    <row r="178" customFormat="false" ht="12.75" hidden="false" customHeight="false" outlineLevel="0" collapsed="false">
      <c r="A178" s="111" t="s">
        <v>331</v>
      </c>
      <c r="B178" s="111" t="s">
        <v>603</v>
      </c>
      <c r="C178" s="0" t="n">
        <v>0.9</v>
      </c>
    </row>
    <row r="179" customFormat="false" ht="12.75" hidden="false" customHeight="false" outlineLevel="0" collapsed="false">
      <c r="A179" s="111" t="s">
        <v>331</v>
      </c>
      <c r="B179" s="111" t="s">
        <v>606</v>
      </c>
      <c r="C179" s="0" t="n">
        <v>0.9</v>
      </c>
    </row>
    <row r="180" customFormat="false" ht="12.75" hidden="false" customHeight="false" outlineLevel="0" collapsed="false">
      <c r="A180" s="111" t="s">
        <v>331</v>
      </c>
      <c r="B180" s="111" t="s">
        <v>608</v>
      </c>
      <c r="C180" s="0" t="n">
        <v>0.9</v>
      </c>
    </row>
    <row r="181" customFormat="false" ht="12.75" hidden="false" customHeight="false" outlineLevel="0" collapsed="false">
      <c r="A181" s="111" t="s">
        <v>331</v>
      </c>
      <c r="B181" s="111" t="s">
        <v>610</v>
      </c>
      <c r="C181" s="0" t="n">
        <v>0.9</v>
      </c>
    </row>
    <row r="182" customFormat="false" ht="12.75" hidden="false" customHeight="false" outlineLevel="0" collapsed="false">
      <c r="A182" s="111" t="s">
        <v>331</v>
      </c>
      <c r="B182" s="111" t="s">
        <v>612</v>
      </c>
      <c r="C182" s="0" t="n">
        <v>1</v>
      </c>
    </row>
    <row r="183" customFormat="false" ht="12.75" hidden="false" customHeight="false" outlineLevel="0" collapsed="false">
      <c r="A183" s="111" t="s">
        <v>331</v>
      </c>
      <c r="B183" s="111" t="s">
        <v>614</v>
      </c>
      <c r="C183" s="0" t="n">
        <v>1</v>
      </c>
    </row>
    <row r="184" customFormat="false" ht="12.75" hidden="false" customHeight="false" outlineLevel="0" collapsed="false">
      <c r="A184" s="0" t="s">
        <v>3</v>
      </c>
      <c r="B184" s="318" t="s">
        <v>352</v>
      </c>
      <c r="C184" s="0" t="n">
        <v>1</v>
      </c>
    </row>
    <row r="185" customFormat="false" ht="12.75" hidden="false" customHeight="false" outlineLevel="0" collapsed="false">
      <c r="A185" s="0" t="s">
        <v>3</v>
      </c>
      <c r="B185" s="318" t="s">
        <v>373</v>
      </c>
      <c r="C185" s="0" t="n">
        <v>1</v>
      </c>
    </row>
    <row r="186" customFormat="false" ht="12.75" hidden="false" customHeight="false" outlineLevel="0" collapsed="false">
      <c r="A186" s="0" t="s">
        <v>3</v>
      </c>
      <c r="B186" s="318" t="s">
        <v>392</v>
      </c>
      <c r="C186" s="0" t="n">
        <v>1</v>
      </c>
    </row>
    <row r="187" customFormat="false" ht="12.75" hidden="false" customHeight="false" outlineLevel="0" collapsed="false">
      <c r="A187" s="0" t="s">
        <v>3</v>
      </c>
      <c r="B187" s="318" t="s">
        <v>412</v>
      </c>
      <c r="C187" s="0" t="n">
        <v>1</v>
      </c>
    </row>
    <row r="188" customFormat="false" ht="12.75" hidden="false" customHeight="false" outlineLevel="0" collapsed="false">
      <c r="A188" s="0" t="s">
        <v>3</v>
      </c>
      <c r="B188" s="318" t="s">
        <v>430</v>
      </c>
      <c r="C188" s="0" t="n">
        <v>1</v>
      </c>
    </row>
    <row r="189" customFormat="false" ht="12.75" hidden="false" customHeight="false" outlineLevel="0" collapsed="false">
      <c r="A189" s="0" t="s">
        <v>3</v>
      </c>
      <c r="B189" s="318" t="s">
        <v>448</v>
      </c>
      <c r="C189" s="0" t="n">
        <v>1</v>
      </c>
    </row>
    <row r="190" customFormat="false" ht="12.75" hidden="false" customHeight="false" outlineLevel="0" collapsed="false">
      <c r="A190" s="0" t="s">
        <v>3</v>
      </c>
      <c r="B190" s="318" t="s">
        <v>467</v>
      </c>
      <c r="C190" s="0" t="n">
        <v>1</v>
      </c>
    </row>
    <row r="191" customFormat="false" ht="12.75" hidden="false" customHeight="false" outlineLevel="0" collapsed="false">
      <c r="A191" s="0" t="s">
        <v>3</v>
      </c>
      <c r="B191" s="318" t="s">
        <v>484</v>
      </c>
      <c r="C191" s="0" t="n">
        <v>1</v>
      </c>
    </row>
    <row r="192" customFormat="false" ht="12.75" hidden="false" customHeight="false" outlineLevel="0" collapsed="false">
      <c r="A192" s="0" t="s">
        <v>3</v>
      </c>
      <c r="B192" s="318" t="s">
        <v>499</v>
      </c>
      <c r="C192" s="0" t="n">
        <v>1</v>
      </c>
    </row>
    <row r="193" customFormat="false" ht="12.75" hidden="false" customHeight="false" outlineLevel="0" collapsed="false">
      <c r="A193" s="0" t="s">
        <v>3</v>
      </c>
      <c r="B193" s="318" t="s">
        <v>512</v>
      </c>
      <c r="C193" s="0" t="n">
        <v>1</v>
      </c>
    </row>
    <row r="194" customFormat="false" ht="12.75" hidden="false" customHeight="false" outlineLevel="0" collapsed="false">
      <c r="A194" s="0" t="s">
        <v>3</v>
      </c>
      <c r="B194" s="318" t="s">
        <v>524</v>
      </c>
      <c r="C194" s="0" t="n">
        <v>1</v>
      </c>
    </row>
    <row r="195" customFormat="false" ht="12.75" hidden="false" customHeight="false" outlineLevel="0" collapsed="false">
      <c r="A195" s="0" t="s">
        <v>3</v>
      </c>
      <c r="B195" s="318" t="s">
        <v>535</v>
      </c>
      <c r="C195" s="0" t="n">
        <v>1</v>
      </c>
    </row>
    <row r="196" customFormat="false" ht="12.75" hidden="false" customHeight="false" outlineLevel="0" collapsed="false">
      <c r="A196" s="0" t="s">
        <v>3</v>
      </c>
      <c r="B196" s="318" t="s">
        <v>545</v>
      </c>
      <c r="C196" s="0" t="n">
        <v>1</v>
      </c>
    </row>
    <row r="197" customFormat="false" ht="12.75" hidden="false" customHeight="false" outlineLevel="0" collapsed="false">
      <c r="A197" s="0" t="s">
        <v>3</v>
      </c>
      <c r="B197" s="318" t="s">
        <v>553</v>
      </c>
      <c r="C197" s="0" t="n">
        <v>1</v>
      </c>
    </row>
    <row r="198" customFormat="false" ht="12.75" hidden="false" customHeight="false" outlineLevel="0" collapsed="false">
      <c r="A198" s="0" t="s">
        <v>3</v>
      </c>
      <c r="B198" s="318" t="s">
        <v>559</v>
      </c>
      <c r="C198" s="0" t="n">
        <v>1</v>
      </c>
    </row>
    <row r="199" customFormat="false" ht="12.75" hidden="false" customHeight="false" outlineLevel="0" collapsed="false">
      <c r="A199" s="0" t="s">
        <v>3</v>
      </c>
      <c r="B199" s="318" t="s">
        <v>565</v>
      </c>
      <c r="C199" s="0" t="n">
        <v>1</v>
      </c>
    </row>
    <row r="200" customFormat="false" ht="12.75" hidden="false" customHeight="false" outlineLevel="0" collapsed="false">
      <c r="A200" s="0" t="s">
        <v>3</v>
      </c>
      <c r="B200" s="318" t="s">
        <v>3</v>
      </c>
      <c r="C200" s="0" t="n">
        <v>1</v>
      </c>
    </row>
    <row r="201" customFormat="false" ht="12.75" hidden="false" customHeight="false" outlineLevel="0" collapsed="false">
      <c r="A201" s="0" t="s">
        <v>3</v>
      </c>
      <c r="B201" s="318" t="s">
        <v>571</v>
      </c>
      <c r="C201" s="0" t="n">
        <v>1</v>
      </c>
    </row>
    <row r="202" customFormat="false" ht="12.75" hidden="false" customHeight="false" outlineLevel="0" collapsed="false">
      <c r="A202" s="0" t="s">
        <v>3</v>
      </c>
      <c r="B202" s="318" t="s">
        <v>575</v>
      </c>
      <c r="C202" s="0" t="n">
        <v>1</v>
      </c>
    </row>
    <row r="203" customFormat="false" ht="12.75" hidden="false" customHeight="false" outlineLevel="0" collapsed="false">
      <c r="A203" s="0" t="s">
        <v>3</v>
      </c>
      <c r="B203" s="318" t="s">
        <v>578</v>
      </c>
      <c r="C203" s="0" t="n">
        <v>1</v>
      </c>
    </row>
    <row r="204" customFormat="false" ht="12.75" hidden="false" customHeight="false" outlineLevel="0" collapsed="false">
      <c r="A204" s="0" t="s">
        <v>3</v>
      </c>
      <c r="B204" s="318" t="s">
        <v>581</v>
      </c>
      <c r="C204" s="0" t="n">
        <v>1</v>
      </c>
    </row>
    <row r="205" customFormat="false" ht="12.75" hidden="false" customHeight="false" outlineLevel="0" collapsed="false">
      <c r="A205" s="0" t="s">
        <v>3</v>
      </c>
      <c r="B205" s="318" t="s">
        <v>584</v>
      </c>
      <c r="C205" s="0" t="n">
        <v>1</v>
      </c>
    </row>
    <row r="206" customFormat="false" ht="12.75" hidden="false" customHeight="false" outlineLevel="0" collapsed="false">
      <c r="A206" s="0" t="s">
        <v>3</v>
      </c>
      <c r="B206" s="318" t="s">
        <v>587</v>
      </c>
      <c r="C206" s="0" t="n">
        <v>1</v>
      </c>
    </row>
    <row r="207" customFormat="false" ht="12.75" hidden="false" customHeight="false" outlineLevel="0" collapsed="false">
      <c r="A207" s="0" t="s">
        <v>3</v>
      </c>
      <c r="B207" s="318" t="s">
        <v>590</v>
      </c>
      <c r="C207" s="0" t="n">
        <v>1</v>
      </c>
    </row>
    <row r="208" customFormat="false" ht="12.75" hidden="false" customHeight="false" outlineLevel="0" collapsed="false">
      <c r="A208" s="0" t="s">
        <v>3</v>
      </c>
      <c r="B208" s="318" t="s">
        <v>593</v>
      </c>
      <c r="C208" s="0" t="n">
        <v>1</v>
      </c>
    </row>
    <row r="209" customFormat="false" ht="12.75" hidden="false" customHeight="false" outlineLevel="0" collapsed="false">
      <c r="A209" s="0" t="s">
        <v>3</v>
      </c>
      <c r="B209" s="318" t="s">
        <v>596</v>
      </c>
      <c r="C209" s="0" t="n">
        <v>1</v>
      </c>
    </row>
    <row r="210" customFormat="false" ht="12.75" hidden="false" customHeight="false" outlineLevel="0" collapsed="false">
      <c r="A210" s="0" t="s">
        <v>3</v>
      </c>
      <c r="B210" s="318" t="s">
        <v>600</v>
      </c>
      <c r="C210" s="0" t="n">
        <v>1</v>
      </c>
    </row>
    <row r="211" customFormat="false" ht="12.75" hidden="false" customHeight="false" outlineLevel="0" collapsed="false">
      <c r="A211" s="0" t="s">
        <v>3</v>
      </c>
      <c r="B211" s="318" t="s">
        <v>604</v>
      </c>
      <c r="C211" s="0" t="n">
        <v>1</v>
      </c>
    </row>
    <row r="212" customFormat="false" ht="12.75" hidden="false" customHeight="false" outlineLevel="0" collapsed="false">
      <c r="A212" s="0" t="s">
        <v>332</v>
      </c>
      <c r="B212" s="318" t="s">
        <v>353</v>
      </c>
      <c r="C212" s="0" t="n">
        <v>1</v>
      </c>
    </row>
    <row r="213" customFormat="false" ht="12.75" hidden="false" customHeight="false" outlineLevel="0" collapsed="false">
      <c r="A213" s="0" t="s">
        <v>332</v>
      </c>
      <c r="B213" s="318" t="s">
        <v>374</v>
      </c>
      <c r="C213" s="0" t="n">
        <v>1</v>
      </c>
    </row>
    <row r="214" customFormat="false" ht="12.75" hidden="false" customHeight="false" outlineLevel="0" collapsed="false">
      <c r="A214" s="0" t="s">
        <v>332</v>
      </c>
      <c r="B214" s="318" t="s">
        <v>393</v>
      </c>
      <c r="C214" s="0" t="n">
        <v>1</v>
      </c>
    </row>
    <row r="215" customFormat="false" ht="12.75" hidden="false" customHeight="false" outlineLevel="0" collapsed="false">
      <c r="A215" s="0" t="s">
        <v>332</v>
      </c>
      <c r="B215" s="318" t="s">
        <v>413</v>
      </c>
      <c r="C215" s="0" t="n">
        <v>1</v>
      </c>
    </row>
    <row r="216" customFormat="false" ht="12.75" hidden="false" customHeight="false" outlineLevel="0" collapsed="false">
      <c r="A216" s="0" t="s">
        <v>332</v>
      </c>
      <c r="B216" s="318" t="s">
        <v>431</v>
      </c>
      <c r="C216" s="0" t="n">
        <v>1</v>
      </c>
    </row>
    <row r="217" customFormat="false" ht="12.75" hidden="false" customHeight="false" outlineLevel="0" collapsed="false">
      <c r="A217" s="0" t="s">
        <v>332</v>
      </c>
      <c r="B217" s="318" t="s">
        <v>449</v>
      </c>
      <c r="C217" s="0" t="n">
        <v>1</v>
      </c>
    </row>
    <row r="218" customFormat="false" ht="12.75" hidden="false" customHeight="false" outlineLevel="0" collapsed="false">
      <c r="A218" s="0" t="s">
        <v>332</v>
      </c>
      <c r="B218" s="318" t="s">
        <v>468</v>
      </c>
      <c r="C218" s="0" t="n">
        <v>1</v>
      </c>
    </row>
    <row r="219" customFormat="false" ht="12.75" hidden="false" customHeight="false" outlineLevel="0" collapsed="false">
      <c r="A219" s="0" t="s">
        <v>332</v>
      </c>
      <c r="B219" s="318" t="s">
        <v>485</v>
      </c>
      <c r="C219" s="0" t="n">
        <v>1</v>
      </c>
    </row>
    <row r="220" customFormat="false" ht="12.75" hidden="false" customHeight="false" outlineLevel="0" collapsed="false">
      <c r="A220" s="111" t="s">
        <v>333</v>
      </c>
      <c r="B220" s="111" t="s">
        <v>354</v>
      </c>
      <c r="C220" s="0" t="n">
        <v>1</v>
      </c>
    </row>
    <row r="221" customFormat="false" ht="12.75" hidden="false" customHeight="false" outlineLevel="0" collapsed="false">
      <c r="A221" s="111" t="s">
        <v>333</v>
      </c>
      <c r="B221" s="111" t="s">
        <v>375</v>
      </c>
      <c r="C221" s="0" t="n">
        <v>1</v>
      </c>
    </row>
    <row r="222" customFormat="false" ht="12.75" hidden="false" customHeight="false" outlineLevel="0" collapsed="false">
      <c r="A222" s="111" t="s">
        <v>333</v>
      </c>
      <c r="B222" s="111" t="s">
        <v>394</v>
      </c>
      <c r="C222" s="0" t="n">
        <v>1</v>
      </c>
    </row>
    <row r="223" customFormat="false" ht="12.75" hidden="false" customHeight="false" outlineLevel="0" collapsed="false">
      <c r="A223" s="111" t="s">
        <v>333</v>
      </c>
      <c r="B223" s="111" t="s">
        <v>333</v>
      </c>
      <c r="C223" s="0" t="n">
        <v>1</v>
      </c>
    </row>
    <row r="224" customFormat="false" ht="12.75" hidden="false" customHeight="false" outlineLevel="0" collapsed="false">
      <c r="A224" s="111" t="s">
        <v>333</v>
      </c>
      <c r="B224" s="111" t="s">
        <v>432</v>
      </c>
      <c r="C224" s="0" t="n">
        <v>1.1</v>
      </c>
    </row>
    <row r="225" customFormat="false" ht="12.75" hidden="false" customHeight="false" outlineLevel="0" collapsed="false">
      <c r="A225" s="111" t="s">
        <v>333</v>
      </c>
      <c r="B225" s="111" t="s">
        <v>450</v>
      </c>
      <c r="C225" s="0" t="n">
        <v>1.1</v>
      </c>
    </row>
    <row r="226" customFormat="false" ht="12.75" hidden="false" customHeight="false" outlineLevel="0" collapsed="false">
      <c r="A226" s="111" t="s">
        <v>333</v>
      </c>
      <c r="B226" s="111" t="s">
        <v>469</v>
      </c>
      <c r="C226" s="0" t="n">
        <v>1.1</v>
      </c>
    </row>
    <row r="227" customFormat="false" ht="12.75" hidden="false" customHeight="false" outlineLevel="0" collapsed="false">
      <c r="A227" s="111" t="s">
        <v>333</v>
      </c>
      <c r="B227" s="111" t="s">
        <v>486</v>
      </c>
      <c r="C227" s="0" t="n">
        <v>1.1</v>
      </c>
    </row>
    <row r="228" customFormat="false" ht="12.75" hidden="false" customHeight="false" outlineLevel="0" collapsed="false">
      <c r="A228" s="111" t="s">
        <v>334</v>
      </c>
      <c r="B228" s="111" t="s">
        <v>355</v>
      </c>
      <c r="C228" s="0" t="n">
        <v>1</v>
      </c>
    </row>
    <row r="229" customFormat="false" ht="12.75" hidden="false" customHeight="false" outlineLevel="0" collapsed="false">
      <c r="A229" s="111" t="s">
        <v>334</v>
      </c>
      <c r="B229" s="111" t="s">
        <v>376</v>
      </c>
      <c r="C229" s="0" t="n">
        <v>1</v>
      </c>
    </row>
    <row r="230" customFormat="false" ht="12.75" hidden="false" customHeight="false" outlineLevel="0" collapsed="false">
      <c r="A230" s="111" t="s">
        <v>334</v>
      </c>
      <c r="B230" s="111" t="s">
        <v>395</v>
      </c>
      <c r="C230" s="0" t="n">
        <v>1.1</v>
      </c>
    </row>
    <row r="231" customFormat="false" ht="12.75" hidden="false" customHeight="false" outlineLevel="0" collapsed="false">
      <c r="A231" s="111" t="s">
        <v>334</v>
      </c>
      <c r="B231" s="111" t="s">
        <v>414</v>
      </c>
      <c r="C231" s="0" t="n">
        <v>1.1</v>
      </c>
    </row>
    <row r="232" customFormat="false" ht="12.75" hidden="false" customHeight="false" outlineLevel="0" collapsed="false">
      <c r="A232" s="111" t="s">
        <v>334</v>
      </c>
      <c r="B232" s="111" t="s">
        <v>433</v>
      </c>
      <c r="C232" s="0" t="n">
        <v>1.1</v>
      </c>
    </row>
    <row r="233" customFormat="false" ht="12.75" hidden="false" customHeight="false" outlineLevel="0" collapsed="false">
      <c r="A233" s="111" t="s">
        <v>334</v>
      </c>
      <c r="B233" s="111" t="s">
        <v>451</v>
      </c>
      <c r="C233" s="0" t="n">
        <v>1.1</v>
      </c>
    </row>
    <row r="234" customFormat="false" ht="12.75" hidden="false" customHeight="false" outlineLevel="0" collapsed="false">
      <c r="A234" s="111" t="s">
        <v>334</v>
      </c>
      <c r="B234" s="111" t="s">
        <v>470</v>
      </c>
      <c r="C234" s="0" t="n">
        <v>1.1</v>
      </c>
    </row>
    <row r="235" customFormat="false" ht="12.75" hidden="false" customHeight="false" outlineLevel="0" collapsed="false">
      <c r="A235" s="111" t="s">
        <v>334</v>
      </c>
      <c r="B235" s="111" t="s">
        <v>487</v>
      </c>
      <c r="C235" s="0" t="n">
        <v>1.1</v>
      </c>
    </row>
    <row r="236" customFormat="false" ht="12.75" hidden="false" customHeight="false" outlineLevel="0" collapsed="false">
      <c r="A236" s="111" t="s">
        <v>334</v>
      </c>
      <c r="B236" s="111" t="s">
        <v>500</v>
      </c>
      <c r="C236" s="0" t="n">
        <v>1.1</v>
      </c>
    </row>
    <row r="237" customFormat="false" ht="12.75" hidden="false" customHeight="false" outlineLevel="0" collapsed="false">
      <c r="A237" s="111" t="s">
        <v>334</v>
      </c>
      <c r="B237" s="111" t="s">
        <v>513</v>
      </c>
      <c r="C237" s="0" t="n">
        <v>1.1</v>
      </c>
    </row>
    <row r="238" customFormat="false" ht="12.75" hidden="false" customHeight="false" outlineLevel="0" collapsed="false">
      <c r="A238" s="111" t="s">
        <v>334</v>
      </c>
      <c r="B238" s="111" t="s">
        <v>525</v>
      </c>
      <c r="C238" s="0" t="n">
        <v>1.1</v>
      </c>
    </row>
    <row r="239" customFormat="false" ht="12.75" hidden="false" customHeight="false" outlineLevel="0" collapsed="false">
      <c r="A239" s="111" t="s">
        <v>334</v>
      </c>
      <c r="B239" s="111" t="s">
        <v>536</v>
      </c>
      <c r="C239" s="0" t="n">
        <v>1.1</v>
      </c>
    </row>
    <row r="240" customFormat="false" ht="12.75" hidden="false" customHeight="false" outlineLevel="0" collapsed="false">
      <c r="A240" s="111" t="s">
        <v>334</v>
      </c>
      <c r="B240" s="111" t="s">
        <v>546</v>
      </c>
      <c r="C240" s="0" t="n">
        <v>1.1</v>
      </c>
    </row>
    <row r="241" customFormat="false" ht="12.75" hidden="false" customHeight="false" outlineLevel="0" collapsed="false">
      <c r="A241" s="111" t="s">
        <v>334</v>
      </c>
      <c r="B241" s="111" t="s">
        <v>554</v>
      </c>
      <c r="C241" s="0" t="n">
        <v>1.1</v>
      </c>
    </row>
    <row r="242" customFormat="false" ht="12.75" hidden="false" customHeight="false" outlineLevel="0" collapsed="false">
      <c r="A242" s="111" t="s">
        <v>334</v>
      </c>
      <c r="B242" s="111" t="s">
        <v>560</v>
      </c>
      <c r="C242" s="0" t="n">
        <v>1.2</v>
      </c>
    </row>
    <row r="243" customFormat="false" ht="12.75" hidden="false" customHeight="false" outlineLevel="0" collapsed="false">
      <c r="A243" s="111" t="s">
        <v>334</v>
      </c>
      <c r="B243" s="111" t="s">
        <v>566</v>
      </c>
      <c r="C243" s="0" t="n">
        <v>1.2</v>
      </c>
    </row>
    <row r="244" customFormat="false" ht="12.75" hidden="false" customHeight="false" outlineLevel="0" collapsed="false">
      <c r="A244" s="111" t="s">
        <v>335</v>
      </c>
      <c r="B244" s="111" t="s">
        <v>356</v>
      </c>
      <c r="C244" s="0" t="n">
        <v>1.3</v>
      </c>
    </row>
    <row r="245" customFormat="false" ht="12.75" hidden="false" customHeight="false" outlineLevel="0" collapsed="false">
      <c r="A245" s="111" t="s">
        <v>335</v>
      </c>
      <c r="B245" s="111" t="s">
        <v>377</v>
      </c>
      <c r="C245" s="0" t="n">
        <v>1.3</v>
      </c>
    </row>
    <row r="246" customFormat="false" ht="12.75" hidden="false" customHeight="false" outlineLevel="0" collapsed="false">
      <c r="A246" s="111" t="s">
        <v>335</v>
      </c>
      <c r="B246" s="111" t="s">
        <v>396</v>
      </c>
      <c r="C246" s="0" t="n">
        <v>1.4</v>
      </c>
    </row>
    <row r="247" customFormat="false" ht="12.75" hidden="false" customHeight="false" outlineLevel="0" collapsed="false">
      <c r="A247" s="111" t="s">
        <v>335</v>
      </c>
      <c r="B247" s="111" t="s">
        <v>415</v>
      </c>
      <c r="C247" s="0" t="n">
        <v>1.4</v>
      </c>
    </row>
    <row r="248" customFormat="false" ht="12.75" hidden="false" customHeight="false" outlineLevel="0" collapsed="false">
      <c r="A248" s="111" t="s">
        <v>335</v>
      </c>
      <c r="B248" s="111" t="s">
        <v>434</v>
      </c>
      <c r="C248" s="0" t="n">
        <v>1.4</v>
      </c>
    </row>
    <row r="249" customFormat="false" ht="12.75" hidden="false" customHeight="false" outlineLevel="0" collapsed="false">
      <c r="A249" s="111" t="s">
        <v>335</v>
      </c>
      <c r="B249" s="111" t="s">
        <v>452</v>
      </c>
      <c r="C249" s="0" t="n">
        <v>1.4</v>
      </c>
    </row>
    <row r="250" customFormat="false" ht="12.75" hidden="false" customHeight="false" outlineLevel="0" collapsed="false">
      <c r="A250" s="111" t="s">
        <v>335</v>
      </c>
      <c r="B250" s="111" t="s">
        <v>471</v>
      </c>
      <c r="C250" s="0" t="n">
        <v>1.5</v>
      </c>
    </row>
    <row r="251" customFormat="false" ht="12.75" hidden="false" customHeight="false" outlineLevel="0" collapsed="false">
      <c r="A251" s="111" t="s">
        <v>335</v>
      </c>
      <c r="B251" s="111" t="s">
        <v>488</v>
      </c>
      <c r="C251" s="0" t="n">
        <v>1.5</v>
      </c>
    </row>
    <row r="252" customFormat="false" ht="12.75" hidden="false" customHeight="false" outlineLevel="0" collapsed="false">
      <c r="A252" s="111" t="s">
        <v>335</v>
      </c>
      <c r="B252" s="111" t="s">
        <v>501</v>
      </c>
      <c r="C252" s="0" t="n">
        <v>1.5</v>
      </c>
    </row>
    <row r="253" customFormat="false" ht="12.75" hidden="false" customHeight="false" outlineLevel="0" collapsed="false">
      <c r="A253" s="111" t="s">
        <v>335</v>
      </c>
      <c r="B253" s="111" t="s">
        <v>514</v>
      </c>
      <c r="C253" s="0" t="n">
        <v>1.5</v>
      </c>
    </row>
    <row r="254" customFormat="false" ht="12.75" hidden="false" customHeight="false" outlineLevel="0" collapsed="false">
      <c r="A254" s="111" t="s">
        <v>335</v>
      </c>
      <c r="B254" s="111" t="s">
        <v>526</v>
      </c>
      <c r="C254" s="0" t="n">
        <v>1.6</v>
      </c>
    </row>
    <row r="255" customFormat="false" ht="12.75" hidden="false" customHeight="false" outlineLevel="0" collapsed="false">
      <c r="A255" s="111" t="s">
        <v>335</v>
      </c>
      <c r="B255" s="111" t="s">
        <v>537</v>
      </c>
      <c r="C255" s="0" t="n">
        <v>1.6</v>
      </c>
    </row>
    <row r="256" customFormat="false" ht="12.75" hidden="false" customHeight="false" outlineLevel="0" collapsed="false">
      <c r="A256" s="111" t="s">
        <v>335</v>
      </c>
      <c r="B256" s="111" t="s">
        <v>547</v>
      </c>
      <c r="C256" s="0" t="n">
        <v>1.6</v>
      </c>
    </row>
    <row r="257" customFormat="false" ht="12.75" hidden="false" customHeight="false" outlineLevel="0" collapsed="false">
      <c r="A257" s="111" t="s">
        <v>335</v>
      </c>
      <c r="B257" s="111" t="s">
        <v>555</v>
      </c>
      <c r="C257" s="0" t="n">
        <v>1.7</v>
      </c>
    </row>
    <row r="258" customFormat="false" ht="12.75" hidden="false" customHeight="false" outlineLevel="0" collapsed="false">
      <c r="A258" s="111" t="s">
        <v>335</v>
      </c>
      <c r="B258" s="111" t="s">
        <v>561</v>
      </c>
      <c r="C258" s="0" t="n">
        <v>1.8</v>
      </c>
    </row>
    <row r="259" customFormat="false" ht="12.75" hidden="false" customHeight="false" outlineLevel="0" collapsed="false">
      <c r="A259" s="111" t="s">
        <v>336</v>
      </c>
      <c r="B259" s="111" t="s">
        <v>357</v>
      </c>
      <c r="C259" s="0" t="n">
        <v>1.3</v>
      </c>
    </row>
    <row r="260" customFormat="false" ht="12.75" hidden="false" customHeight="false" outlineLevel="0" collapsed="false">
      <c r="A260" s="111" t="s">
        <v>336</v>
      </c>
      <c r="B260" s="111" t="s">
        <v>378</v>
      </c>
      <c r="C260" s="0" t="n">
        <v>1.3</v>
      </c>
    </row>
    <row r="261" customFormat="false" ht="12.75" hidden="false" customHeight="false" outlineLevel="0" collapsed="false">
      <c r="A261" s="111" t="s">
        <v>336</v>
      </c>
      <c r="B261" s="111" t="s">
        <v>397</v>
      </c>
      <c r="C261" s="0" t="n">
        <v>1.3</v>
      </c>
    </row>
    <row r="262" customFormat="false" ht="12.75" hidden="false" customHeight="false" outlineLevel="0" collapsed="false">
      <c r="A262" s="111" t="s">
        <v>336</v>
      </c>
      <c r="B262" s="111" t="s">
        <v>416</v>
      </c>
      <c r="C262" s="0" t="n">
        <v>1.3</v>
      </c>
    </row>
    <row r="263" customFormat="false" ht="12.75" hidden="false" customHeight="false" outlineLevel="0" collapsed="false">
      <c r="A263" s="111" t="s">
        <v>336</v>
      </c>
      <c r="B263" s="111" t="s">
        <v>435</v>
      </c>
      <c r="C263" s="0" t="n">
        <v>1.3</v>
      </c>
    </row>
    <row r="264" customFormat="false" ht="12.75" hidden="false" customHeight="false" outlineLevel="0" collapsed="false">
      <c r="A264" s="111" t="s">
        <v>336</v>
      </c>
      <c r="B264" s="111" t="s">
        <v>453</v>
      </c>
      <c r="C264" s="0" t="n">
        <v>1.4</v>
      </c>
    </row>
    <row r="265" customFormat="false" ht="12.75" hidden="false" customHeight="false" outlineLevel="0" collapsed="false">
      <c r="A265" s="111" t="s">
        <v>336</v>
      </c>
      <c r="B265" s="111" t="s">
        <v>472</v>
      </c>
      <c r="C265" s="0" t="n">
        <v>1.4</v>
      </c>
    </row>
    <row r="266" customFormat="false" ht="12.75" hidden="false" customHeight="false" outlineLevel="0" collapsed="false">
      <c r="A266" s="111" t="s">
        <v>337</v>
      </c>
      <c r="B266" s="111" t="s">
        <v>358</v>
      </c>
      <c r="C266" s="0" t="n">
        <v>1</v>
      </c>
    </row>
    <row r="267" customFormat="false" ht="12.75" hidden="false" customHeight="false" outlineLevel="0" collapsed="false">
      <c r="A267" s="111" t="s">
        <v>337</v>
      </c>
      <c r="B267" s="111" t="s">
        <v>379</v>
      </c>
      <c r="C267" s="0" t="n">
        <v>1</v>
      </c>
    </row>
    <row r="268" customFormat="false" ht="12.75" hidden="false" customHeight="false" outlineLevel="0" collapsed="false">
      <c r="A268" s="111" t="s">
        <v>337</v>
      </c>
      <c r="B268" s="111" t="s">
        <v>398</v>
      </c>
      <c r="C268" s="0" t="n">
        <v>1</v>
      </c>
    </row>
    <row r="269" customFormat="false" ht="12.75" hidden="false" customHeight="false" outlineLevel="0" collapsed="false">
      <c r="A269" s="111" t="s">
        <v>337</v>
      </c>
      <c r="B269" s="111" t="s">
        <v>417</v>
      </c>
      <c r="C269" s="0" t="n">
        <v>1</v>
      </c>
    </row>
    <row r="270" customFormat="false" ht="12.75" hidden="false" customHeight="false" outlineLevel="0" collapsed="false">
      <c r="A270" s="111" t="s">
        <v>337</v>
      </c>
      <c r="B270" s="111" t="s">
        <v>436</v>
      </c>
      <c r="C270" s="0" t="n">
        <v>1</v>
      </c>
    </row>
    <row r="271" customFormat="false" ht="12.75" hidden="false" customHeight="false" outlineLevel="0" collapsed="false">
      <c r="A271" s="111" t="s">
        <v>337</v>
      </c>
      <c r="B271" s="111" t="s">
        <v>454</v>
      </c>
      <c r="C271" s="0" t="n">
        <v>1</v>
      </c>
    </row>
    <row r="272" customFormat="false" ht="12.75" hidden="false" customHeight="false" outlineLevel="0" collapsed="false">
      <c r="A272" s="111" t="s">
        <v>337</v>
      </c>
      <c r="B272" s="111" t="s">
        <v>473</v>
      </c>
      <c r="C272" s="0" t="n">
        <v>1.1</v>
      </c>
    </row>
    <row r="273" customFormat="false" ht="12.75" hidden="false" customHeight="false" outlineLevel="0" collapsed="false">
      <c r="A273" s="111" t="s">
        <v>337</v>
      </c>
      <c r="B273" s="111" t="s">
        <v>489</v>
      </c>
      <c r="C273" s="0" t="n">
        <v>1.1</v>
      </c>
    </row>
    <row r="274" customFormat="false" ht="12.75" hidden="false" customHeight="false" outlineLevel="0" collapsed="false">
      <c r="A274" s="111" t="s">
        <v>337</v>
      </c>
      <c r="B274" s="111" t="s">
        <v>502</v>
      </c>
      <c r="C274" s="0" t="n">
        <v>1.1</v>
      </c>
    </row>
    <row r="275" customFormat="false" ht="12.75" hidden="false" customHeight="false" outlineLevel="0" collapsed="false">
      <c r="A275" s="111" t="s">
        <v>337</v>
      </c>
      <c r="B275" s="111" t="s">
        <v>515</v>
      </c>
      <c r="C275" s="0" t="n">
        <v>1.1</v>
      </c>
    </row>
    <row r="276" customFormat="false" ht="12.75" hidden="false" customHeight="false" outlineLevel="0" collapsed="false">
      <c r="A276" s="111" t="s">
        <v>573</v>
      </c>
      <c r="B276" s="111" t="s">
        <v>359</v>
      </c>
      <c r="C276" s="0" t="n">
        <v>0.9</v>
      </c>
    </row>
    <row r="277" customFormat="false" ht="12.75" hidden="false" customHeight="false" outlineLevel="0" collapsed="false">
      <c r="A277" s="111" t="s">
        <v>573</v>
      </c>
      <c r="B277" s="111" t="s">
        <v>380</v>
      </c>
      <c r="C277" s="0" t="n">
        <v>0.9</v>
      </c>
    </row>
    <row r="278" customFormat="false" ht="12.75" hidden="false" customHeight="false" outlineLevel="0" collapsed="false">
      <c r="A278" s="111" t="s">
        <v>573</v>
      </c>
      <c r="B278" s="111" t="s">
        <v>399</v>
      </c>
      <c r="C278" s="0" t="n">
        <v>0.9</v>
      </c>
    </row>
    <row r="279" customFormat="false" ht="12.75" hidden="false" customHeight="false" outlineLevel="0" collapsed="false">
      <c r="A279" s="111" t="s">
        <v>573</v>
      </c>
      <c r="B279" s="111" t="s">
        <v>418</v>
      </c>
      <c r="C279" s="0" t="n">
        <v>0.9</v>
      </c>
    </row>
    <row r="280" customFormat="false" ht="12.75" hidden="false" customHeight="false" outlineLevel="0" collapsed="false">
      <c r="A280" s="111" t="s">
        <v>573</v>
      </c>
      <c r="B280" s="111" t="s">
        <v>437</v>
      </c>
      <c r="C280" s="0" t="n">
        <v>0.9</v>
      </c>
    </row>
    <row r="281" customFormat="false" ht="12.75" hidden="false" customHeight="false" outlineLevel="0" collapsed="false">
      <c r="A281" s="111" t="s">
        <v>573</v>
      </c>
      <c r="B281" s="111" t="s">
        <v>455</v>
      </c>
      <c r="C281" s="0" t="n">
        <v>0.9</v>
      </c>
    </row>
    <row r="282" customFormat="false" ht="12.75" hidden="false" customHeight="false" outlineLevel="0" collapsed="false">
      <c r="A282" s="111" t="s">
        <v>573</v>
      </c>
      <c r="B282" s="111" t="s">
        <v>474</v>
      </c>
      <c r="C282" s="0" t="n">
        <v>0.9</v>
      </c>
    </row>
    <row r="283" customFormat="false" ht="12.75" hidden="false" customHeight="false" outlineLevel="0" collapsed="false">
      <c r="A283" s="111" t="s">
        <v>573</v>
      </c>
      <c r="B283" s="111" t="s">
        <v>490</v>
      </c>
      <c r="C283" s="0" t="n">
        <v>0.9</v>
      </c>
    </row>
    <row r="284" customFormat="false" ht="12.75" hidden="false" customHeight="false" outlineLevel="0" collapsed="false">
      <c r="A284" s="111" t="s">
        <v>573</v>
      </c>
      <c r="B284" s="111" t="s">
        <v>503</v>
      </c>
      <c r="C284" s="0" t="n">
        <v>0.9</v>
      </c>
    </row>
    <row r="285" customFormat="false" ht="12.75" hidden="false" customHeight="false" outlineLevel="0" collapsed="false">
      <c r="A285" s="111" t="s">
        <v>573</v>
      </c>
      <c r="B285" s="111" t="s">
        <v>516</v>
      </c>
      <c r="C285" s="0" t="n">
        <v>0.9</v>
      </c>
    </row>
    <row r="286" customFormat="false" ht="12.75" hidden="false" customHeight="false" outlineLevel="0" collapsed="false">
      <c r="A286" s="111" t="s">
        <v>573</v>
      </c>
      <c r="B286" s="111" t="s">
        <v>527</v>
      </c>
      <c r="C286" s="0" t="n">
        <v>0.9</v>
      </c>
    </row>
    <row r="287" customFormat="false" ht="12.75" hidden="false" customHeight="false" outlineLevel="0" collapsed="false">
      <c r="A287" s="111" t="s">
        <v>573</v>
      </c>
      <c r="B287" s="111" t="s">
        <v>538</v>
      </c>
      <c r="C287" s="0" t="n">
        <v>0.9</v>
      </c>
    </row>
    <row r="288" customFormat="false" ht="12.75" hidden="false" customHeight="false" outlineLevel="0" collapsed="false">
      <c r="A288" s="111" t="s">
        <v>573</v>
      </c>
      <c r="B288" s="111" t="s">
        <v>548</v>
      </c>
      <c r="C288" s="0" t="n">
        <v>0.9</v>
      </c>
    </row>
    <row r="289" customFormat="false" ht="12.75" hidden="false" customHeight="false" outlineLevel="0" collapsed="false">
      <c r="A289" s="111" t="s">
        <v>573</v>
      </c>
      <c r="B289" s="111" t="s">
        <v>556</v>
      </c>
      <c r="C289" s="0" t="n">
        <v>0.9</v>
      </c>
    </row>
    <row r="290" customFormat="false" ht="12.75" hidden="false" customHeight="false" outlineLevel="0" collapsed="false">
      <c r="A290" s="111" t="s">
        <v>573</v>
      </c>
      <c r="B290" s="111" t="s">
        <v>562</v>
      </c>
      <c r="C290" s="0" t="n">
        <v>0.9</v>
      </c>
    </row>
    <row r="291" customFormat="false" ht="12.75" hidden="false" customHeight="false" outlineLevel="0" collapsed="false">
      <c r="A291" s="111" t="s">
        <v>573</v>
      </c>
      <c r="B291" s="111" t="s">
        <v>567</v>
      </c>
      <c r="C291" s="0" t="n">
        <v>1</v>
      </c>
    </row>
    <row r="292" customFormat="false" ht="12.75" hidden="false" customHeight="false" outlineLevel="0" collapsed="false">
      <c r="A292" s="111" t="s">
        <v>573</v>
      </c>
      <c r="B292" s="111" t="s">
        <v>569</v>
      </c>
      <c r="C292" s="0" t="n">
        <v>1</v>
      </c>
    </row>
    <row r="293" customFormat="false" ht="12.75" hidden="false" customHeight="false" outlineLevel="0" collapsed="false">
      <c r="A293" s="111" t="s">
        <v>573</v>
      </c>
      <c r="B293" s="111" t="s">
        <v>572</v>
      </c>
      <c r="C293" s="0" t="n">
        <v>1</v>
      </c>
    </row>
    <row r="294" customFormat="false" ht="12.75" hidden="false" customHeight="false" outlineLevel="0" collapsed="false">
      <c r="A294" s="111" t="s">
        <v>573</v>
      </c>
      <c r="B294" s="111" t="s">
        <v>576</v>
      </c>
      <c r="C294" s="0" t="n">
        <v>1</v>
      </c>
    </row>
    <row r="295" customFormat="false" ht="12.75" hidden="false" customHeight="false" outlineLevel="0" collapsed="false">
      <c r="A295" s="111" t="s">
        <v>573</v>
      </c>
      <c r="B295" s="111" t="s">
        <v>579</v>
      </c>
      <c r="C295" s="0" t="n">
        <v>1</v>
      </c>
    </row>
    <row r="296" customFormat="false" ht="12.75" hidden="false" customHeight="false" outlineLevel="0" collapsed="false">
      <c r="A296" s="111" t="s">
        <v>573</v>
      </c>
      <c r="B296" s="111" t="s">
        <v>582</v>
      </c>
      <c r="C296" s="0" t="n">
        <v>1</v>
      </c>
    </row>
    <row r="297" customFormat="false" ht="12.75" hidden="false" customHeight="false" outlineLevel="0" collapsed="false">
      <c r="A297" s="111" t="s">
        <v>573</v>
      </c>
      <c r="B297" s="111" t="s">
        <v>585</v>
      </c>
      <c r="C297" s="0" t="n">
        <v>1</v>
      </c>
    </row>
    <row r="298" customFormat="false" ht="12.75" hidden="false" customHeight="false" outlineLevel="0" collapsed="false">
      <c r="A298" s="111" t="s">
        <v>573</v>
      </c>
      <c r="B298" s="111" t="s">
        <v>588</v>
      </c>
      <c r="C298" s="0" t="n">
        <v>1</v>
      </c>
    </row>
    <row r="299" customFormat="false" ht="12.75" hidden="false" customHeight="false" outlineLevel="0" collapsed="false">
      <c r="A299" s="111" t="s">
        <v>573</v>
      </c>
      <c r="B299" s="111" t="s">
        <v>591</v>
      </c>
      <c r="C299" s="0" t="n">
        <v>1</v>
      </c>
    </row>
    <row r="300" customFormat="false" ht="12.75" hidden="false" customHeight="false" outlineLevel="0" collapsed="false">
      <c r="A300" s="111" t="s">
        <v>573</v>
      </c>
      <c r="B300" s="111" t="s">
        <v>594</v>
      </c>
      <c r="C300" s="0" t="n">
        <v>1</v>
      </c>
    </row>
    <row r="301" customFormat="false" ht="12.75" hidden="false" customHeight="false" outlineLevel="0" collapsed="false">
      <c r="A301" s="111" t="s">
        <v>573</v>
      </c>
      <c r="B301" s="111" t="s">
        <v>597</v>
      </c>
      <c r="C301" s="0" t="n">
        <v>1</v>
      </c>
    </row>
    <row r="302" customFormat="false" ht="12.75" hidden="false" customHeight="false" outlineLevel="0" collapsed="false">
      <c r="A302" s="111" t="s">
        <v>573</v>
      </c>
      <c r="B302" s="111" t="s">
        <v>601</v>
      </c>
      <c r="C302" s="0" t="n">
        <v>1</v>
      </c>
    </row>
    <row r="303" customFormat="false" ht="12.75" hidden="false" customHeight="false" outlineLevel="0" collapsed="false">
      <c r="A303" s="111" t="s">
        <v>573</v>
      </c>
      <c r="B303" s="111" t="s">
        <v>605</v>
      </c>
      <c r="C303" s="0" t="n">
        <v>1</v>
      </c>
    </row>
    <row r="304" customFormat="false" ht="12.75" hidden="false" customHeight="false" outlineLevel="0" collapsed="false">
      <c r="A304" s="111" t="s">
        <v>573</v>
      </c>
      <c r="B304" s="111" t="s">
        <v>607</v>
      </c>
      <c r="C304" s="0" t="n">
        <v>1</v>
      </c>
    </row>
    <row r="305" customFormat="false" ht="12.75" hidden="false" customHeight="false" outlineLevel="0" collapsed="false">
      <c r="A305" s="111" t="s">
        <v>573</v>
      </c>
      <c r="B305" s="111" t="s">
        <v>609</v>
      </c>
      <c r="C305" s="0" t="n">
        <v>1</v>
      </c>
    </row>
    <row r="306" customFormat="false" ht="12.75" hidden="false" customHeight="false" outlineLevel="0" collapsed="false">
      <c r="A306" s="111" t="s">
        <v>573</v>
      </c>
      <c r="B306" s="111" t="s">
        <v>611</v>
      </c>
      <c r="C306" s="0" t="n">
        <v>1</v>
      </c>
    </row>
    <row r="307" customFormat="false" ht="12.75" hidden="false" customHeight="false" outlineLevel="0" collapsed="false">
      <c r="A307" s="111" t="s">
        <v>573</v>
      </c>
      <c r="B307" s="111" t="s">
        <v>613</v>
      </c>
      <c r="C307" s="0" t="n">
        <v>1</v>
      </c>
    </row>
    <row r="308" customFormat="false" ht="12.75" hidden="false" customHeight="false" outlineLevel="0" collapsed="false">
      <c r="A308" s="111" t="s">
        <v>573</v>
      </c>
      <c r="B308" s="111" t="s">
        <v>615</v>
      </c>
      <c r="C308" s="0" t="n">
        <v>1</v>
      </c>
    </row>
    <row r="309" customFormat="false" ht="12.75" hidden="false" customHeight="false" outlineLevel="0" collapsed="false">
      <c r="A309" s="111" t="s">
        <v>573</v>
      </c>
      <c r="B309" s="111" t="s">
        <v>616</v>
      </c>
      <c r="C309" s="0" t="n">
        <v>1</v>
      </c>
    </row>
    <row r="310" customFormat="false" ht="12.75" hidden="false" customHeight="false" outlineLevel="0" collapsed="false">
      <c r="A310" s="111" t="s">
        <v>573</v>
      </c>
      <c r="B310" s="111" t="s">
        <v>617</v>
      </c>
      <c r="C310" s="0" t="n">
        <v>1</v>
      </c>
    </row>
    <row r="311" customFormat="false" ht="12.75" hidden="false" customHeight="false" outlineLevel="0" collapsed="false">
      <c r="A311" s="111" t="s">
        <v>573</v>
      </c>
      <c r="B311" s="111" t="s">
        <v>618</v>
      </c>
      <c r="C311" s="0" t="n">
        <v>1</v>
      </c>
    </row>
    <row r="312" customFormat="false" ht="12.75" hidden="false" customHeight="false" outlineLevel="0" collapsed="false">
      <c r="A312" s="111" t="s">
        <v>573</v>
      </c>
      <c r="B312" s="111" t="s">
        <v>619</v>
      </c>
      <c r="C312" s="0" t="n">
        <v>1</v>
      </c>
    </row>
    <row r="313" customFormat="false" ht="12.75" hidden="false" customHeight="false" outlineLevel="0" collapsed="false">
      <c r="A313" s="111" t="s">
        <v>573</v>
      </c>
      <c r="B313" s="111" t="s">
        <v>636</v>
      </c>
      <c r="C313" s="0" t="n">
        <v>1</v>
      </c>
    </row>
    <row r="314" customFormat="false" ht="12.75" hidden="false" customHeight="false" outlineLevel="0" collapsed="false">
      <c r="A314" s="111" t="s">
        <v>573</v>
      </c>
      <c r="B314" s="111" t="s">
        <v>637</v>
      </c>
      <c r="C314" s="0" t="n">
        <v>1</v>
      </c>
    </row>
    <row r="315" customFormat="false" ht="12.75" hidden="false" customHeight="false" outlineLevel="0" collapsed="false">
      <c r="A315" s="111" t="s">
        <v>573</v>
      </c>
      <c r="B315" s="111" t="s">
        <v>638</v>
      </c>
      <c r="C315" s="0" t="n">
        <v>1</v>
      </c>
    </row>
    <row r="316" customFormat="false" ht="12.75" hidden="false" customHeight="false" outlineLevel="0" collapsed="false">
      <c r="A316" s="111" t="s">
        <v>573</v>
      </c>
      <c r="B316" s="111" t="s">
        <v>639</v>
      </c>
      <c r="C316" s="0" t="n">
        <v>1</v>
      </c>
    </row>
    <row r="317" customFormat="false" ht="12.75" hidden="false" customHeight="false" outlineLevel="0" collapsed="false">
      <c r="A317" s="111" t="s">
        <v>573</v>
      </c>
      <c r="B317" s="111" t="s">
        <v>640</v>
      </c>
      <c r="C317" s="0" t="n">
        <v>1</v>
      </c>
    </row>
    <row r="318" customFormat="false" ht="12.75" hidden="false" customHeight="false" outlineLevel="0" collapsed="false">
      <c r="A318" s="111" t="s">
        <v>573</v>
      </c>
      <c r="B318" s="111" t="s">
        <v>641</v>
      </c>
      <c r="C318" s="0" t="n">
        <v>1</v>
      </c>
    </row>
    <row r="319" customFormat="false" ht="12.75" hidden="false" customHeight="false" outlineLevel="0" collapsed="false">
      <c r="A319" s="111" t="s">
        <v>573</v>
      </c>
      <c r="B319" s="111" t="s">
        <v>642</v>
      </c>
      <c r="C319" s="0" t="n">
        <v>1</v>
      </c>
    </row>
    <row r="320" customFormat="false" ht="12.75" hidden="false" customHeight="false" outlineLevel="0" collapsed="false">
      <c r="A320" s="111" t="s">
        <v>573</v>
      </c>
      <c r="B320" s="111" t="s">
        <v>643</v>
      </c>
      <c r="C320" s="0" t="n">
        <v>1</v>
      </c>
    </row>
    <row r="321" customFormat="false" ht="12.75" hidden="false" customHeight="false" outlineLevel="0" collapsed="false">
      <c r="A321" s="111" t="s">
        <v>573</v>
      </c>
      <c r="B321" s="111" t="s">
        <v>644</v>
      </c>
      <c r="C321" s="0" t="n">
        <v>1</v>
      </c>
    </row>
    <row r="322" customFormat="false" ht="12.75" hidden="false" customHeight="false" outlineLevel="0" collapsed="false">
      <c r="A322" s="111" t="s">
        <v>573</v>
      </c>
      <c r="B322" s="111" t="s">
        <v>645</v>
      </c>
      <c r="C322" s="0" t="n">
        <v>1</v>
      </c>
    </row>
    <row r="323" customFormat="false" ht="12.75" hidden="false" customHeight="false" outlineLevel="0" collapsed="false">
      <c r="A323" s="111" t="s">
        <v>573</v>
      </c>
      <c r="B323" s="111" t="s">
        <v>646</v>
      </c>
      <c r="C323" s="0" t="n">
        <v>1.1</v>
      </c>
    </row>
    <row r="324" customFormat="false" ht="12.75" hidden="false" customHeight="false" outlineLevel="0" collapsed="false">
      <c r="A324" s="111" t="s">
        <v>573</v>
      </c>
      <c r="B324" s="111" t="s">
        <v>647</v>
      </c>
      <c r="C324" s="0" t="n">
        <v>1.1</v>
      </c>
    </row>
    <row r="325" customFormat="false" ht="12.75" hidden="false" customHeight="false" outlineLevel="0" collapsed="false">
      <c r="A325" s="111" t="s">
        <v>339</v>
      </c>
      <c r="B325" s="111" t="s">
        <v>360</v>
      </c>
      <c r="C325" s="0" t="n">
        <v>1</v>
      </c>
    </row>
    <row r="326" customFormat="false" ht="12.75" hidden="false" customHeight="false" outlineLevel="0" collapsed="false">
      <c r="A326" s="111" t="s">
        <v>339</v>
      </c>
      <c r="B326" s="111" t="s">
        <v>381</v>
      </c>
      <c r="C326" s="0" t="n">
        <v>1</v>
      </c>
    </row>
    <row r="327" customFormat="false" ht="12.75" hidden="false" customHeight="false" outlineLevel="0" collapsed="false">
      <c r="A327" s="111" t="s">
        <v>339</v>
      </c>
      <c r="B327" s="111" t="s">
        <v>400</v>
      </c>
      <c r="C327" s="0" t="n">
        <v>1</v>
      </c>
    </row>
    <row r="328" customFormat="false" ht="12.75" hidden="false" customHeight="false" outlineLevel="0" collapsed="false">
      <c r="A328" s="111" t="s">
        <v>339</v>
      </c>
      <c r="B328" s="111" t="s">
        <v>419</v>
      </c>
      <c r="C328" s="0" t="n">
        <v>1</v>
      </c>
    </row>
    <row r="329" customFormat="false" ht="12.75" hidden="false" customHeight="false" outlineLevel="0" collapsed="false">
      <c r="A329" s="111" t="s">
        <v>339</v>
      </c>
      <c r="B329" s="111" t="s">
        <v>360</v>
      </c>
      <c r="C329" s="0" t="n">
        <v>1</v>
      </c>
    </row>
    <row r="330" customFormat="false" ht="12.75" hidden="false" customHeight="false" outlineLevel="0" collapsed="false">
      <c r="A330" s="111" t="s">
        <v>339</v>
      </c>
      <c r="B330" s="111" t="s">
        <v>381</v>
      </c>
      <c r="C330" s="0" t="n">
        <v>1</v>
      </c>
    </row>
    <row r="331" customFormat="false" ht="12.75" hidden="false" customHeight="false" outlineLevel="0" collapsed="false">
      <c r="A331" s="111" t="s">
        <v>339</v>
      </c>
      <c r="B331" s="111" t="s">
        <v>400</v>
      </c>
      <c r="C331" s="0" t="n">
        <v>1</v>
      </c>
    </row>
    <row r="332" customFormat="false" ht="12.75" hidden="false" customHeight="false" outlineLevel="0" collapsed="false">
      <c r="A332" s="111" t="s">
        <v>339</v>
      </c>
      <c r="B332" s="111" t="s">
        <v>419</v>
      </c>
      <c r="C332" s="0" t="n">
        <v>1</v>
      </c>
    </row>
    <row r="333" customFormat="false" ht="12.75" hidden="false" customHeight="false" outlineLevel="0" collapsed="false">
      <c r="A333" s="111" t="s">
        <v>339</v>
      </c>
      <c r="B333" s="111" t="s">
        <v>339</v>
      </c>
      <c r="C333" s="0" t="n">
        <v>1</v>
      </c>
    </row>
    <row r="334" customFormat="false" ht="12.75" hidden="false" customHeight="false" outlineLevel="0" collapsed="false">
      <c r="A334" s="111" t="s">
        <v>339</v>
      </c>
      <c r="B334" s="111" t="s">
        <v>456</v>
      </c>
      <c r="C334" s="0" t="n">
        <v>1.1</v>
      </c>
    </row>
    <row r="335" customFormat="false" ht="12.75" hidden="false" customHeight="false" outlineLevel="0" collapsed="false">
      <c r="A335" s="111" t="s">
        <v>339</v>
      </c>
      <c r="B335" s="111" t="s">
        <v>475</v>
      </c>
      <c r="C335" s="0" t="n">
        <v>1.1</v>
      </c>
    </row>
    <row r="336" customFormat="false" ht="12.75" hidden="false" customHeight="false" outlineLevel="0" collapsed="false">
      <c r="A336" s="111" t="s">
        <v>339</v>
      </c>
      <c r="B336" s="111" t="s">
        <v>491</v>
      </c>
      <c r="C336" s="0" t="n">
        <v>1.1</v>
      </c>
    </row>
    <row r="337" customFormat="false" ht="12.75" hidden="false" customHeight="false" outlineLevel="0" collapsed="false">
      <c r="A337" s="111" t="s">
        <v>339</v>
      </c>
      <c r="B337" s="111" t="s">
        <v>504</v>
      </c>
      <c r="C337" s="0" t="n">
        <v>1.1</v>
      </c>
    </row>
    <row r="338" customFormat="false" ht="12.75" hidden="false" customHeight="false" outlineLevel="0" collapsed="false">
      <c r="A338" s="111" t="s">
        <v>339</v>
      </c>
      <c r="B338" s="111" t="s">
        <v>517</v>
      </c>
      <c r="C338" s="0" t="n">
        <v>1.1</v>
      </c>
    </row>
    <row r="339" customFormat="false" ht="12.75" hidden="false" customHeight="false" outlineLevel="0" collapsed="false">
      <c r="A339" s="111" t="s">
        <v>339</v>
      </c>
      <c r="B339" s="111" t="s">
        <v>528</v>
      </c>
      <c r="C339" s="0" t="n">
        <v>1.1</v>
      </c>
    </row>
    <row r="340" customFormat="false" ht="12.75" hidden="false" customHeight="false" outlineLevel="0" collapsed="false">
      <c r="A340" s="111" t="s">
        <v>339</v>
      </c>
      <c r="B340" s="111" t="s">
        <v>539</v>
      </c>
      <c r="C340" s="0" t="n">
        <v>1.2</v>
      </c>
    </row>
    <row r="341" customFormat="false" ht="12.75" hidden="false" customHeight="false" outlineLevel="0" collapsed="false">
      <c r="A341" s="111" t="s">
        <v>340</v>
      </c>
      <c r="B341" s="318" t="s">
        <v>361</v>
      </c>
      <c r="C341" s="0" t="n">
        <v>1</v>
      </c>
    </row>
    <row r="342" customFormat="false" ht="12.75" hidden="false" customHeight="false" outlineLevel="0" collapsed="false">
      <c r="A342" s="111" t="s">
        <v>340</v>
      </c>
      <c r="B342" s="318" t="s">
        <v>382</v>
      </c>
      <c r="C342" s="0" t="n">
        <v>1</v>
      </c>
    </row>
    <row r="343" customFormat="false" ht="12.75" hidden="false" customHeight="false" outlineLevel="0" collapsed="false">
      <c r="A343" s="111" t="s">
        <v>340</v>
      </c>
      <c r="B343" s="318" t="s">
        <v>401</v>
      </c>
      <c r="C343" s="0" t="n">
        <v>1</v>
      </c>
    </row>
    <row r="344" customFormat="false" ht="12.75" hidden="false" customHeight="false" outlineLevel="0" collapsed="false">
      <c r="A344" s="111" t="s">
        <v>340</v>
      </c>
      <c r="B344" s="318" t="s">
        <v>420</v>
      </c>
      <c r="C344" s="0" t="n">
        <v>1</v>
      </c>
    </row>
    <row r="345" customFormat="false" ht="12.75" hidden="false" customHeight="false" outlineLevel="0" collapsed="false">
      <c r="A345" s="111" t="s">
        <v>340</v>
      </c>
      <c r="B345" s="318" t="s">
        <v>438</v>
      </c>
      <c r="C345" s="0" t="n">
        <v>1</v>
      </c>
    </row>
    <row r="346" customFormat="false" ht="12.75" hidden="false" customHeight="false" outlineLevel="0" collapsed="false">
      <c r="A346" s="111" t="s">
        <v>340</v>
      </c>
      <c r="B346" s="318" t="s">
        <v>457</v>
      </c>
      <c r="C346" s="0" t="n">
        <v>1</v>
      </c>
    </row>
    <row r="347" customFormat="false" ht="12.75" hidden="false" customHeight="false" outlineLevel="0" collapsed="false">
      <c r="A347" s="0" t="s">
        <v>332</v>
      </c>
      <c r="B347" s="318" t="s">
        <v>476</v>
      </c>
      <c r="C347" s="0" t="n">
        <v>1</v>
      </c>
    </row>
    <row r="348" customFormat="false" ht="12.75" hidden="false" customHeight="false" outlineLevel="0" collapsed="false">
      <c r="A348" s="111" t="s">
        <v>340</v>
      </c>
      <c r="B348" s="318" t="s">
        <v>492</v>
      </c>
      <c r="C348" s="0" t="n">
        <v>1</v>
      </c>
    </row>
    <row r="349" customFormat="false" ht="12.75" hidden="false" customHeight="false" outlineLevel="0" collapsed="false">
      <c r="A349" s="111" t="s">
        <v>340</v>
      </c>
      <c r="B349" s="318" t="s">
        <v>505</v>
      </c>
      <c r="C349" s="0" t="n">
        <v>1</v>
      </c>
    </row>
    <row r="350" customFormat="false" ht="12.75" hidden="false" customHeight="false" outlineLevel="0" collapsed="false">
      <c r="A350" s="111" t="s">
        <v>340</v>
      </c>
      <c r="B350" s="318" t="s">
        <v>518</v>
      </c>
      <c r="C350" s="0" t="n">
        <v>1</v>
      </c>
    </row>
    <row r="351" customFormat="false" ht="12.75" hidden="false" customHeight="false" outlineLevel="0" collapsed="false">
      <c r="A351" s="111" t="s">
        <v>340</v>
      </c>
      <c r="B351" s="318" t="s">
        <v>529</v>
      </c>
      <c r="C351" s="0" t="n">
        <v>1</v>
      </c>
    </row>
    <row r="352" customFormat="false" ht="12.75" hidden="false" customHeight="false" outlineLevel="0" collapsed="false">
      <c r="A352" s="111" t="s">
        <v>340</v>
      </c>
      <c r="B352" s="318" t="s">
        <v>540</v>
      </c>
      <c r="C352" s="0" t="n">
        <v>1</v>
      </c>
    </row>
    <row r="353" customFormat="false" ht="12.75" hidden="false" customHeight="false" outlineLevel="0" collapsed="false">
      <c r="A353" s="111" t="s">
        <v>340</v>
      </c>
      <c r="B353" s="318" t="s">
        <v>549</v>
      </c>
      <c r="C353" s="0" t="n">
        <v>1</v>
      </c>
    </row>
    <row r="354" customFormat="false" ht="12.75" hidden="false" customHeight="false" outlineLevel="0" collapsed="false">
      <c r="B354" s="111"/>
    </row>
    <row r="355" customFormat="false" ht="12.75" hidden="false" customHeight="false" outlineLevel="0" collapsed="false">
      <c r="B355" s="111"/>
    </row>
  </sheetData>
  <dataValidations count="2">
    <dataValidation allowBlank="true" errorStyle="stop" operator="between" showDropDown="false" showErrorMessage="true" showInputMessage="true" sqref="C30" type="list">
      <formula1>LänFgeo</formula1>
      <formula2>0</formula2>
    </dataValidation>
    <dataValidation allowBlank="true" errorStyle="stop" operator="between" showDropDown="false" showErrorMessage="true" showInputMessage="true" sqref="C31 D36 F36 E37" type="list">
      <formula1>INDIRECT($C$30)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17"/>
  <sheetViews>
    <sheetView showFormulas="false" showGridLines="true" showRowColHeaders="true" showZeros="true" rightToLeft="false" tabSelected="false" showOutlineSymbols="true" defaultGridColor="true" view="normal" topLeftCell="A283" colorId="64" zoomScale="125" zoomScaleNormal="125" zoomScalePageLayoutView="100" workbookViewId="0">
      <selection pane="topLeft" activeCell="A302" activeCellId="0" sqref="A302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3.01"/>
    <col collapsed="false" customWidth="true" hidden="false" outlineLevel="0" max="3" min="3" style="0" width="21.29"/>
    <col collapsed="false" customWidth="true" hidden="false" outlineLevel="0" max="21" min="21" style="0" width="24.15"/>
    <col collapsed="false" customWidth="true" hidden="false" outlineLevel="0" max="22" min="22" style="0" width="23.71"/>
    <col collapsed="false" customWidth="true" hidden="false" outlineLevel="0" max="25" min="25" style="0" width="26.29"/>
  </cols>
  <sheetData>
    <row r="1" customFormat="false" ht="18.75" hidden="false" customHeight="false" outlineLevel="0" collapsed="false">
      <c r="C1" s="323" t="s">
        <v>650</v>
      </c>
    </row>
    <row r="2" customFormat="false" ht="15" hidden="false" customHeight="false" outlineLevel="0" collapsed="false">
      <c r="A2" s="0" t="s">
        <v>651</v>
      </c>
      <c r="B2" s="0" t="s">
        <v>652</v>
      </c>
      <c r="C2" s="321" t="s">
        <v>653</v>
      </c>
      <c r="D2" s="321" t="s">
        <v>654</v>
      </c>
      <c r="E2" s="321" t="s">
        <v>623</v>
      </c>
      <c r="F2" s="321" t="s">
        <v>655</v>
      </c>
      <c r="G2" s="321" t="s">
        <v>624</v>
      </c>
      <c r="H2" s="321" t="s">
        <v>625</v>
      </c>
      <c r="I2" s="321" t="s">
        <v>626</v>
      </c>
      <c r="J2" s="321" t="s">
        <v>627</v>
      </c>
      <c r="K2" s="321" t="s">
        <v>628</v>
      </c>
      <c r="L2" s="321" t="s">
        <v>629</v>
      </c>
      <c r="M2" s="321" t="s">
        <v>630</v>
      </c>
      <c r="N2" s="321" t="s">
        <v>631</v>
      </c>
      <c r="O2" s="321" t="s">
        <v>632</v>
      </c>
      <c r="P2" s="321" t="s">
        <v>633</v>
      </c>
      <c r="Q2" s="321" t="s">
        <v>634</v>
      </c>
      <c r="R2" s="321" t="s">
        <v>635</v>
      </c>
      <c r="S2" s="324" t="s">
        <v>656</v>
      </c>
      <c r="T2" s="325" t="s">
        <v>177</v>
      </c>
    </row>
    <row r="3" customFormat="false" ht="12.75" hidden="false" customHeight="false" outlineLevel="0" collapsed="false">
      <c r="B3" s="318" t="s">
        <v>352</v>
      </c>
      <c r="C3" s="0" t="s">
        <v>352</v>
      </c>
      <c r="D3" s="0" t="n">
        <v>102627</v>
      </c>
      <c r="E3" s="0" t="n">
        <v>59.36</v>
      </c>
      <c r="F3" s="0" t="n">
        <v>17.52</v>
      </c>
      <c r="G3" s="0" t="n">
        <v>-17.3</v>
      </c>
      <c r="H3" s="0" t="n">
        <v>-16.4</v>
      </c>
      <c r="I3" s="0" t="n">
        <v>-15.7</v>
      </c>
      <c r="J3" s="0" t="n">
        <v>-15.2</v>
      </c>
      <c r="K3" s="0" t="n">
        <v>-14.5</v>
      </c>
      <c r="L3" s="0" t="n">
        <v>-14.1</v>
      </c>
      <c r="M3" s="0" t="n">
        <v>-13.9</v>
      </c>
      <c r="N3" s="0" t="n">
        <v>-13.6</v>
      </c>
      <c r="O3" s="0" t="n">
        <v>-13.4</v>
      </c>
      <c r="P3" s="0" t="n">
        <v>-12.9</v>
      </c>
      <c r="Q3" s="0" t="n">
        <v>-12.6</v>
      </c>
      <c r="R3" s="0" t="n">
        <v>-12.4</v>
      </c>
      <c r="S3" s="0" t="n">
        <v>1</v>
      </c>
      <c r="T3" s="0" t="n">
        <f aca="false">VALUE(VLOOKUP(B3,FgeoVlookup,2,FALSE()))</f>
        <v>1</v>
      </c>
      <c r="U3" s="0" t="s">
        <v>657</v>
      </c>
      <c r="X3" s="111"/>
      <c r="Y3" s="111"/>
    </row>
    <row r="4" customFormat="false" ht="12.75" hidden="false" customHeight="false" outlineLevel="0" collapsed="false">
      <c r="B4" s="318" t="s">
        <v>373</v>
      </c>
      <c r="C4" s="0" t="s">
        <v>373</v>
      </c>
      <c r="D4" s="0" t="n">
        <v>102623</v>
      </c>
      <c r="E4" s="0" t="n">
        <v>59.18</v>
      </c>
      <c r="F4" s="0" t="n">
        <v>17.91</v>
      </c>
      <c r="G4" s="0" t="n">
        <v>-15.9</v>
      </c>
      <c r="H4" s="0" t="n">
        <v>-15</v>
      </c>
      <c r="I4" s="0" t="n">
        <v>-14.4</v>
      </c>
      <c r="J4" s="0" t="n">
        <v>-13.8</v>
      </c>
      <c r="K4" s="0" t="n">
        <v>-13.1</v>
      </c>
      <c r="L4" s="0" t="n">
        <v>-12.8</v>
      </c>
      <c r="M4" s="0" t="n">
        <v>-12.8</v>
      </c>
      <c r="N4" s="0" t="n">
        <v>-12.6</v>
      </c>
      <c r="O4" s="0" t="n">
        <v>-12.1</v>
      </c>
      <c r="P4" s="0" t="n">
        <v>-12</v>
      </c>
      <c r="Q4" s="0" t="n">
        <v>-11.9</v>
      </c>
      <c r="R4" s="0" t="n">
        <v>-11.6</v>
      </c>
      <c r="S4" s="0" t="n">
        <v>1</v>
      </c>
      <c r="T4" s="0" t="n">
        <f aca="false">VALUE(VLOOKUP(B4,FgeoVlookup,2,FALSE()))</f>
        <v>1</v>
      </c>
      <c r="U4" s="0" t="s">
        <v>657</v>
      </c>
      <c r="X4" s="111"/>
      <c r="Y4" s="111"/>
    </row>
    <row r="5" customFormat="false" ht="12.75" hidden="false" customHeight="false" outlineLevel="0" collapsed="false">
      <c r="B5" s="318" t="s">
        <v>392</v>
      </c>
      <c r="C5" s="0" t="s">
        <v>392</v>
      </c>
      <c r="D5" s="0" t="n">
        <v>102646</v>
      </c>
      <c r="E5" s="0" t="n">
        <v>59.4</v>
      </c>
      <c r="F5" s="0" t="n">
        <v>18.08</v>
      </c>
      <c r="G5" s="0" t="n">
        <v>-16</v>
      </c>
      <c r="H5" s="0" t="n">
        <v>-15.3</v>
      </c>
      <c r="I5" s="0" t="n">
        <v>-14.7</v>
      </c>
      <c r="J5" s="0" t="n">
        <v>-14.1</v>
      </c>
      <c r="K5" s="0" t="n">
        <v>-13.4</v>
      </c>
      <c r="L5" s="0" t="n">
        <v>-13.1</v>
      </c>
      <c r="M5" s="0" t="n">
        <v>-13</v>
      </c>
      <c r="N5" s="0" t="n">
        <v>-12.7</v>
      </c>
      <c r="O5" s="0" t="n">
        <v>-12.2</v>
      </c>
      <c r="P5" s="0" t="n">
        <v>-12.1</v>
      </c>
      <c r="Q5" s="0" t="n">
        <v>-11.8</v>
      </c>
      <c r="R5" s="0" t="n">
        <v>-11.6</v>
      </c>
      <c r="S5" s="0" t="n">
        <v>1</v>
      </c>
      <c r="T5" s="0" t="n">
        <f aca="false">VALUE(VLOOKUP(B5,FgeoVlookup,2,FALSE()))</f>
        <v>1</v>
      </c>
      <c r="U5" s="0" t="s">
        <v>657</v>
      </c>
      <c r="X5" s="111"/>
      <c r="Y5" s="111"/>
    </row>
    <row r="6" customFormat="false" ht="12.75" hidden="false" customHeight="false" outlineLevel="0" collapsed="false">
      <c r="B6" s="318" t="s">
        <v>412</v>
      </c>
      <c r="C6" s="0" t="s">
        <v>412</v>
      </c>
      <c r="D6" s="0" t="n">
        <v>102610</v>
      </c>
      <c r="E6" s="0" t="n">
        <v>59.11</v>
      </c>
      <c r="F6" s="0" t="n">
        <v>18.07</v>
      </c>
      <c r="G6" s="0" t="n">
        <v>-14.9</v>
      </c>
      <c r="H6" s="0" t="n">
        <v>-14.4</v>
      </c>
      <c r="I6" s="0" t="n">
        <v>-13.8</v>
      </c>
      <c r="J6" s="0" t="n">
        <v>-13</v>
      </c>
      <c r="K6" s="0" t="n">
        <v>-12.6</v>
      </c>
      <c r="L6" s="0" t="n">
        <v>-12.5</v>
      </c>
      <c r="M6" s="0" t="n">
        <v>-12.5</v>
      </c>
      <c r="N6" s="0" t="n">
        <v>-12</v>
      </c>
      <c r="O6" s="0" t="n">
        <v>-11.8</v>
      </c>
      <c r="P6" s="0" t="n">
        <v>-11.7</v>
      </c>
      <c r="Q6" s="0" t="n">
        <v>-11.1</v>
      </c>
      <c r="R6" s="0" t="n">
        <v>-11.1</v>
      </c>
      <c r="S6" s="0" t="n">
        <v>1</v>
      </c>
      <c r="T6" s="0" t="n">
        <f aca="false">VALUE(VLOOKUP(B6,FgeoVlookup,2,FALSE()))</f>
        <v>1</v>
      </c>
      <c r="U6" s="0" t="s">
        <v>657</v>
      </c>
    </row>
    <row r="7" customFormat="false" ht="12.75" hidden="false" customHeight="false" outlineLevel="0" collapsed="false">
      <c r="B7" s="318" t="s">
        <v>430</v>
      </c>
      <c r="C7" s="0" t="s">
        <v>430</v>
      </c>
      <c r="D7" s="0" t="n">
        <v>102624</v>
      </c>
      <c r="E7" s="0" t="n">
        <v>59.21</v>
      </c>
      <c r="F7" s="0" t="n">
        <v>18.04</v>
      </c>
      <c r="G7" s="0" t="n">
        <v>-15.6</v>
      </c>
      <c r="H7" s="0" t="n">
        <v>-15</v>
      </c>
      <c r="I7" s="0" t="n">
        <v>-14.3</v>
      </c>
      <c r="J7" s="0" t="n">
        <v>-13.7</v>
      </c>
      <c r="K7" s="0" t="n">
        <v>-13.2</v>
      </c>
      <c r="L7" s="0" t="n">
        <v>-12.9</v>
      </c>
      <c r="M7" s="0" t="n">
        <v>-12.8</v>
      </c>
      <c r="N7" s="0" t="n">
        <v>-12.5</v>
      </c>
      <c r="O7" s="0" t="n">
        <v>-12.2</v>
      </c>
      <c r="P7" s="0" t="n">
        <v>-12</v>
      </c>
      <c r="Q7" s="0" t="n">
        <v>-11.8</v>
      </c>
      <c r="R7" s="0" t="n">
        <v>-11.6</v>
      </c>
      <c r="S7" s="0" t="n">
        <v>1</v>
      </c>
      <c r="T7" s="0" t="n">
        <f aca="false">VALUE(VLOOKUP(B7,FgeoVlookup,2,FALSE()))</f>
        <v>1</v>
      </c>
      <c r="U7" s="0" t="s">
        <v>657</v>
      </c>
    </row>
    <row r="8" customFormat="false" ht="12.75" hidden="false" customHeight="false" outlineLevel="0" collapsed="false">
      <c r="B8" s="318" t="s">
        <v>448</v>
      </c>
      <c r="C8" s="0" t="s">
        <v>448</v>
      </c>
      <c r="D8" s="0" t="n">
        <v>102626</v>
      </c>
      <c r="E8" s="0" t="n">
        <v>59.41</v>
      </c>
      <c r="F8" s="0" t="n">
        <v>17.87</v>
      </c>
      <c r="G8" s="0" t="n">
        <v>-16.8</v>
      </c>
      <c r="H8" s="0" t="n">
        <v>-16</v>
      </c>
      <c r="I8" s="0" t="n">
        <v>-15.4</v>
      </c>
      <c r="J8" s="0" t="n">
        <v>-14.8</v>
      </c>
      <c r="K8" s="0" t="n">
        <v>-14</v>
      </c>
      <c r="L8" s="0" t="n">
        <v>-13.7</v>
      </c>
      <c r="M8" s="0" t="n">
        <v>-13.6</v>
      </c>
      <c r="N8" s="0" t="n">
        <v>-13.2</v>
      </c>
      <c r="O8" s="0" t="n">
        <v>-12.8</v>
      </c>
      <c r="P8" s="0" t="n">
        <v>-12.6</v>
      </c>
      <c r="Q8" s="0" t="n">
        <v>-12.3</v>
      </c>
      <c r="R8" s="0" t="n">
        <v>-12.2</v>
      </c>
      <c r="S8" s="0" t="n">
        <v>1</v>
      </c>
      <c r="T8" s="0" t="n">
        <f aca="false">VALUE(VLOOKUP(B8,FgeoVlookup,2,FALSE()))</f>
        <v>1</v>
      </c>
      <c r="U8" s="0" t="s">
        <v>657</v>
      </c>
    </row>
    <row r="9" customFormat="false" ht="12.75" hidden="false" customHeight="false" outlineLevel="0" collapsed="false">
      <c r="B9" s="318" t="s">
        <v>467</v>
      </c>
      <c r="C9" s="0" t="s">
        <v>467</v>
      </c>
      <c r="D9" s="0" t="n">
        <v>102647</v>
      </c>
      <c r="E9" s="0" t="n">
        <v>59.37</v>
      </c>
      <c r="F9" s="0" t="n">
        <v>18.18</v>
      </c>
      <c r="G9" s="0" t="n">
        <v>-15.5</v>
      </c>
      <c r="H9" s="0" t="n">
        <v>-15.1</v>
      </c>
      <c r="I9" s="0" t="n">
        <v>-14.5</v>
      </c>
      <c r="J9" s="0" t="n">
        <v>-13.7</v>
      </c>
      <c r="K9" s="0" t="n">
        <v>-13.3</v>
      </c>
      <c r="L9" s="0" t="n">
        <v>-13</v>
      </c>
      <c r="M9" s="0" t="n">
        <v>-12.8</v>
      </c>
      <c r="N9" s="0" t="n">
        <v>-12.5</v>
      </c>
      <c r="O9" s="0" t="n">
        <v>-12.1</v>
      </c>
      <c r="P9" s="0" t="n">
        <v>-12</v>
      </c>
      <c r="Q9" s="0" t="n">
        <v>-11.6</v>
      </c>
      <c r="R9" s="0" t="n">
        <v>-11.5</v>
      </c>
      <c r="S9" s="0" t="n">
        <v>1</v>
      </c>
      <c r="T9" s="0" t="n">
        <f aca="false">VALUE(VLOOKUP(B9,FgeoVlookup,2,FALSE()))</f>
        <v>1</v>
      </c>
      <c r="U9" s="0" t="s">
        <v>657</v>
      </c>
    </row>
    <row r="10" customFormat="false" ht="12.75" hidden="false" customHeight="false" outlineLevel="0" collapsed="false">
      <c r="B10" s="318" t="s">
        <v>484</v>
      </c>
      <c r="C10" s="0" t="s">
        <v>484</v>
      </c>
      <c r="D10" s="0" t="n">
        <v>102615</v>
      </c>
      <c r="E10" s="0" t="n">
        <v>59.87</v>
      </c>
      <c r="F10" s="0" t="n">
        <v>17.72</v>
      </c>
      <c r="G10" s="0" t="n">
        <v>-18</v>
      </c>
      <c r="H10" s="0" t="n">
        <v>-17.2</v>
      </c>
      <c r="I10" s="0" t="n">
        <v>-16.8</v>
      </c>
      <c r="J10" s="0" t="n">
        <v>-16.1</v>
      </c>
      <c r="K10" s="0" t="n">
        <v>-15.6</v>
      </c>
      <c r="L10" s="0" t="n">
        <v>-15.3</v>
      </c>
      <c r="M10" s="0" t="n">
        <v>-15</v>
      </c>
      <c r="N10" s="0" t="n">
        <v>-14.7</v>
      </c>
      <c r="O10" s="0" t="n">
        <v>-14.7</v>
      </c>
      <c r="P10" s="0" t="n">
        <v>-14.6</v>
      </c>
      <c r="Q10" s="0" t="n">
        <v>-14.2</v>
      </c>
      <c r="R10" s="0" t="n">
        <v>-14.1</v>
      </c>
      <c r="S10" s="0" t="n">
        <v>1</v>
      </c>
      <c r="T10" s="0" t="n">
        <f aca="false">VALUE(VLOOKUP(B10,FgeoVlookup,2,FALSE()))</f>
        <v>1</v>
      </c>
      <c r="U10" s="0" t="s">
        <v>657</v>
      </c>
    </row>
    <row r="11" customFormat="false" ht="12.75" hidden="false" customHeight="false" outlineLevel="0" collapsed="false">
      <c r="B11" s="318" t="s">
        <v>499</v>
      </c>
      <c r="C11" s="0" t="s">
        <v>499</v>
      </c>
      <c r="D11" s="0" t="n">
        <v>102648</v>
      </c>
      <c r="E11" s="0" t="n">
        <v>59.31</v>
      </c>
      <c r="F11" s="0" t="n">
        <v>18.16</v>
      </c>
      <c r="G11" s="0" t="n">
        <v>-15.5</v>
      </c>
      <c r="H11" s="0" t="n">
        <v>-15.1</v>
      </c>
      <c r="I11" s="0" t="n">
        <v>-14.6</v>
      </c>
      <c r="J11" s="0" t="n">
        <v>-13.8</v>
      </c>
      <c r="K11" s="0" t="n">
        <v>-13.4</v>
      </c>
      <c r="L11" s="0" t="n">
        <v>-13.1</v>
      </c>
      <c r="M11" s="0" t="n">
        <v>-12.9</v>
      </c>
      <c r="N11" s="0" t="n">
        <v>-12.6</v>
      </c>
      <c r="O11" s="0" t="n">
        <v>-12.3</v>
      </c>
      <c r="P11" s="0" t="n">
        <v>-12.1</v>
      </c>
      <c r="Q11" s="0" t="n">
        <v>-11.7</v>
      </c>
      <c r="R11" s="0" t="n">
        <v>-11.7</v>
      </c>
      <c r="S11" s="0" t="n">
        <v>1</v>
      </c>
      <c r="T11" s="0" t="n">
        <f aca="false">VALUE(VLOOKUP(B11,FgeoVlookup,2,FALSE()))</f>
        <v>1</v>
      </c>
      <c r="U11" s="0" t="s">
        <v>657</v>
      </c>
    </row>
    <row r="12" customFormat="false" ht="12.75" hidden="false" customHeight="false" outlineLevel="0" collapsed="false">
      <c r="B12" s="318" t="s">
        <v>512</v>
      </c>
      <c r="C12" s="0" t="s">
        <v>512</v>
      </c>
      <c r="D12" s="0" t="n">
        <v>102616</v>
      </c>
      <c r="E12" s="0" t="n">
        <v>59.76</v>
      </c>
      <c r="F12" s="0" t="n">
        <v>18.7</v>
      </c>
      <c r="G12" s="0" t="n">
        <v>-16.3</v>
      </c>
      <c r="H12" s="0" t="n">
        <v>-15.6</v>
      </c>
      <c r="I12" s="0" t="n">
        <v>-15</v>
      </c>
      <c r="J12" s="0" t="n">
        <v>-14.1</v>
      </c>
      <c r="K12" s="0" t="n">
        <v>-13.6</v>
      </c>
      <c r="L12" s="0" t="n">
        <v>-13.5</v>
      </c>
      <c r="M12" s="0" t="n">
        <v>-13.2</v>
      </c>
      <c r="N12" s="0" t="n">
        <v>-12.9</v>
      </c>
      <c r="O12" s="0" t="n">
        <v>-12.8</v>
      </c>
      <c r="P12" s="0" t="n">
        <v>-12.5</v>
      </c>
      <c r="Q12" s="0" t="n">
        <v>-12.5</v>
      </c>
      <c r="R12" s="0" t="n">
        <v>-12.4</v>
      </c>
      <c r="S12" s="0" t="n">
        <v>1</v>
      </c>
      <c r="T12" s="0" t="n">
        <f aca="false">VALUE(VLOOKUP(B12,FgeoVlookup,2,FALSE()))</f>
        <v>1</v>
      </c>
      <c r="U12" s="0" t="s">
        <v>657</v>
      </c>
    </row>
    <row r="13" customFormat="false" ht="12.75" hidden="false" customHeight="false" outlineLevel="0" collapsed="false">
      <c r="B13" s="318" t="s">
        <v>524</v>
      </c>
      <c r="C13" s="0" t="s">
        <v>524</v>
      </c>
      <c r="D13" s="0" t="n">
        <v>102645</v>
      </c>
      <c r="E13" s="0" t="n">
        <v>59.17</v>
      </c>
      <c r="F13" s="0" t="n">
        <v>17.43</v>
      </c>
      <c r="G13" s="0" t="n">
        <v>-16.9</v>
      </c>
      <c r="H13" s="0" t="n">
        <v>-16.3</v>
      </c>
      <c r="I13" s="0" t="n">
        <v>-15.2</v>
      </c>
      <c r="J13" s="0" t="n">
        <v>-14.7</v>
      </c>
      <c r="K13" s="0" t="n">
        <v>-14.1</v>
      </c>
      <c r="L13" s="0" t="n">
        <v>-13.8</v>
      </c>
      <c r="M13" s="0" t="n">
        <v>-13.8</v>
      </c>
      <c r="N13" s="0" t="n">
        <v>-13.4</v>
      </c>
      <c r="O13" s="0" t="n">
        <v>-13</v>
      </c>
      <c r="P13" s="0" t="n">
        <v>-12.9</v>
      </c>
      <c r="Q13" s="0" t="n">
        <v>-12.3</v>
      </c>
      <c r="R13" s="0" t="n">
        <v>-12.2</v>
      </c>
      <c r="S13" s="0" t="n">
        <v>1</v>
      </c>
      <c r="T13" s="0" t="n">
        <f aca="false">VALUE(VLOOKUP(B13,FgeoVlookup,2,FALSE()))</f>
        <v>1</v>
      </c>
      <c r="U13" s="0" t="s">
        <v>657</v>
      </c>
    </row>
    <row r="14" customFormat="false" ht="12.75" hidden="false" customHeight="false" outlineLevel="0" collapsed="false">
      <c r="B14" s="318" t="s">
        <v>535</v>
      </c>
      <c r="C14" s="0" t="s">
        <v>535</v>
      </c>
      <c r="D14" s="0" t="n">
        <v>102609</v>
      </c>
      <c r="E14" s="0" t="n">
        <v>58.9</v>
      </c>
      <c r="F14" s="0" t="n">
        <v>17.95</v>
      </c>
      <c r="G14" s="0" t="n">
        <v>-13.9</v>
      </c>
      <c r="H14" s="0" t="n">
        <v>-13.2</v>
      </c>
      <c r="I14" s="0" t="n">
        <v>-12.3</v>
      </c>
      <c r="J14" s="0" t="n">
        <v>-11.9</v>
      </c>
      <c r="K14" s="0" t="n">
        <v>-11.5</v>
      </c>
      <c r="L14" s="0" t="n">
        <v>-11.5</v>
      </c>
      <c r="M14" s="0" t="n">
        <v>-11.3</v>
      </c>
      <c r="N14" s="0" t="n">
        <v>-11</v>
      </c>
      <c r="O14" s="0" t="n">
        <v>-10.7</v>
      </c>
      <c r="P14" s="0" t="n">
        <v>-10.5</v>
      </c>
      <c r="Q14" s="0" t="n">
        <v>-10.3</v>
      </c>
      <c r="R14" s="0" t="n">
        <v>-10.2</v>
      </c>
      <c r="S14" s="0" t="n">
        <v>1</v>
      </c>
      <c r="T14" s="0" t="n">
        <f aca="false">VALUE(VLOOKUP(B14,FgeoVlookup,2,FALSE()))</f>
        <v>1</v>
      </c>
      <c r="U14" s="0" t="s">
        <v>657</v>
      </c>
    </row>
    <row r="15" customFormat="false" ht="12.75" hidden="false" customHeight="false" outlineLevel="0" collapsed="false">
      <c r="B15" s="318" t="s">
        <v>545</v>
      </c>
      <c r="C15" s="0" t="s">
        <v>545</v>
      </c>
      <c r="D15" s="0" t="n">
        <v>102643</v>
      </c>
      <c r="E15" s="0" t="n">
        <v>59.24</v>
      </c>
      <c r="F15" s="0" t="n">
        <v>17.69</v>
      </c>
      <c r="G15" s="0" t="n">
        <v>-16.3</v>
      </c>
      <c r="H15" s="0" t="n">
        <v>-15.7</v>
      </c>
      <c r="I15" s="0" t="n">
        <v>-15</v>
      </c>
      <c r="J15" s="0" t="n">
        <v>-14.5</v>
      </c>
      <c r="K15" s="0" t="n">
        <v>-13.8</v>
      </c>
      <c r="L15" s="0" t="n">
        <v>-13.4</v>
      </c>
      <c r="M15" s="0" t="n">
        <v>-13.4</v>
      </c>
      <c r="N15" s="0" t="n">
        <v>-12.9</v>
      </c>
      <c r="O15" s="0" t="n">
        <v>-12.6</v>
      </c>
      <c r="P15" s="0" t="n">
        <v>-12.5</v>
      </c>
      <c r="Q15" s="0" t="n">
        <v>-12.1</v>
      </c>
      <c r="R15" s="0" t="n">
        <v>-12</v>
      </c>
      <c r="S15" s="0" t="n">
        <v>1</v>
      </c>
      <c r="T15" s="0" t="n">
        <f aca="false">VALUE(VLOOKUP(B15,FgeoVlookup,2,FALSE()))</f>
        <v>1</v>
      </c>
      <c r="U15" s="0" t="s">
        <v>657</v>
      </c>
    </row>
    <row r="16" customFormat="false" ht="12.75" hidden="false" customHeight="false" outlineLevel="0" collapsed="false">
      <c r="B16" s="318" t="s">
        <v>553</v>
      </c>
      <c r="C16" s="0" t="s">
        <v>553</v>
      </c>
      <c r="D16" s="0" t="n">
        <v>102642</v>
      </c>
      <c r="E16" s="0" t="n">
        <v>59.62</v>
      </c>
      <c r="F16" s="0" t="n">
        <v>17.72</v>
      </c>
      <c r="G16" s="0" t="n">
        <v>-17.6</v>
      </c>
      <c r="H16" s="0" t="n">
        <v>-17</v>
      </c>
      <c r="I16" s="0" t="n">
        <v>-16</v>
      </c>
      <c r="J16" s="0" t="n">
        <v>-15.6</v>
      </c>
      <c r="K16" s="0" t="n">
        <v>-14.9</v>
      </c>
      <c r="L16" s="0" t="n">
        <v>-14.7</v>
      </c>
      <c r="M16" s="0" t="n">
        <v>-14.4</v>
      </c>
      <c r="N16" s="0" t="n">
        <v>-14</v>
      </c>
      <c r="O16" s="0" t="n">
        <v>-13.8</v>
      </c>
      <c r="P16" s="0" t="n">
        <v>-13.5</v>
      </c>
      <c r="Q16" s="0" t="n">
        <v>-13.2</v>
      </c>
      <c r="R16" s="0" t="n">
        <v>-13.1</v>
      </c>
      <c r="S16" s="0" t="n">
        <v>1</v>
      </c>
      <c r="T16" s="0" t="n">
        <f aca="false">VALUE(VLOOKUP(B16,FgeoVlookup,2,FALSE()))</f>
        <v>1</v>
      </c>
      <c r="U16" s="0" t="s">
        <v>657</v>
      </c>
    </row>
    <row r="17" customFormat="false" ht="12.75" hidden="false" customHeight="false" outlineLevel="0" collapsed="false">
      <c r="B17" s="318" t="s">
        <v>559</v>
      </c>
      <c r="C17" s="0" t="s">
        <v>559</v>
      </c>
      <c r="D17" s="0" t="n">
        <v>102628</v>
      </c>
      <c r="E17" s="0" t="n">
        <v>59.44</v>
      </c>
      <c r="F17" s="0" t="n">
        <v>17.94</v>
      </c>
      <c r="G17" s="0" t="n">
        <v>-16.8</v>
      </c>
      <c r="H17" s="0" t="n">
        <v>-16</v>
      </c>
      <c r="I17" s="0" t="n">
        <v>-15.3</v>
      </c>
      <c r="J17" s="0" t="n">
        <v>-14.7</v>
      </c>
      <c r="K17" s="0" t="n">
        <v>-14.2</v>
      </c>
      <c r="L17" s="0" t="n">
        <v>-13.8</v>
      </c>
      <c r="M17" s="0" t="n">
        <v>-13.7</v>
      </c>
      <c r="N17" s="0" t="n">
        <v>-13.2</v>
      </c>
      <c r="O17" s="0" t="n">
        <v>-12.9</v>
      </c>
      <c r="P17" s="0" t="n">
        <v>-12.7</v>
      </c>
      <c r="Q17" s="0" t="n">
        <v>-12.4</v>
      </c>
      <c r="R17" s="0" t="n">
        <v>-12.2</v>
      </c>
      <c r="S17" s="0" t="n">
        <v>1</v>
      </c>
      <c r="T17" s="0" t="n">
        <f aca="false">VALUE(VLOOKUP(B17,FgeoVlookup,2,FALSE()))</f>
        <v>1</v>
      </c>
      <c r="U17" s="0" t="s">
        <v>657</v>
      </c>
    </row>
    <row r="18" customFormat="false" ht="12.75" hidden="false" customHeight="false" outlineLevel="0" collapsed="false">
      <c r="B18" s="318" t="s">
        <v>565</v>
      </c>
      <c r="C18" s="0" t="s">
        <v>565</v>
      </c>
      <c r="D18" s="0" t="n">
        <v>102641</v>
      </c>
      <c r="E18" s="0" t="n">
        <v>59.36</v>
      </c>
      <c r="F18" s="0" t="n">
        <v>18</v>
      </c>
      <c r="G18" s="0" t="n">
        <v>-16.2</v>
      </c>
      <c r="H18" s="0" t="n">
        <v>-15.5</v>
      </c>
      <c r="I18" s="0" t="n">
        <v>-14.8</v>
      </c>
      <c r="J18" s="0" t="n">
        <v>-14.2</v>
      </c>
      <c r="K18" s="0" t="n">
        <v>-13.7</v>
      </c>
      <c r="L18" s="0" t="n">
        <v>-13.2</v>
      </c>
      <c r="M18" s="0" t="n">
        <v>-13.2</v>
      </c>
      <c r="N18" s="0" t="n">
        <v>-12.9</v>
      </c>
      <c r="O18" s="0" t="n">
        <v>-12.4</v>
      </c>
      <c r="P18" s="0" t="n">
        <v>-12.3</v>
      </c>
      <c r="Q18" s="0" t="n">
        <v>-11.9</v>
      </c>
      <c r="R18" s="0" t="n">
        <v>-11.8</v>
      </c>
      <c r="S18" s="0" t="n">
        <v>1</v>
      </c>
      <c r="T18" s="0" t="n">
        <f aca="false">VALUE(VLOOKUP(B18,FgeoVlookup,2,FALSE()))</f>
        <v>1</v>
      </c>
      <c r="U18" s="0" t="s">
        <v>657</v>
      </c>
    </row>
    <row r="19" customFormat="false" ht="12.75" hidden="false" customHeight="false" outlineLevel="0" collapsed="false">
      <c r="B19" s="318" t="s">
        <v>3</v>
      </c>
      <c r="C19" s="0" t="s">
        <v>3</v>
      </c>
      <c r="D19" s="0" t="n">
        <v>102612</v>
      </c>
      <c r="E19" s="0" t="n">
        <v>59.28</v>
      </c>
      <c r="F19" s="0" t="n">
        <v>18.04</v>
      </c>
      <c r="G19" s="0" t="n">
        <v>-15.5</v>
      </c>
      <c r="H19" s="0" t="n">
        <v>-14.9</v>
      </c>
      <c r="I19" s="0" t="n">
        <v>-14.4</v>
      </c>
      <c r="J19" s="0" t="n">
        <v>-13.7</v>
      </c>
      <c r="K19" s="0" t="n">
        <v>-13.1</v>
      </c>
      <c r="L19" s="0" t="n">
        <v>-12.8</v>
      </c>
      <c r="M19" s="0" t="n">
        <v>-12.7</v>
      </c>
      <c r="N19" s="0" t="n">
        <v>-12.4</v>
      </c>
      <c r="O19" s="0" t="n">
        <v>-11.9</v>
      </c>
      <c r="P19" s="0" t="n">
        <v>-11.9</v>
      </c>
      <c r="Q19" s="0" t="n">
        <v>-11.6</v>
      </c>
      <c r="R19" s="0" t="n">
        <v>-11.4</v>
      </c>
      <c r="S19" s="0" t="n">
        <v>1</v>
      </c>
      <c r="T19" s="0" t="n">
        <f aca="false">VALUE(VLOOKUP(B19,FgeoVlookup,2,FALSE()))</f>
        <v>1</v>
      </c>
      <c r="U19" s="0" t="s">
        <v>657</v>
      </c>
    </row>
    <row r="20" customFormat="false" ht="12.75" hidden="false" customHeight="false" outlineLevel="0" collapsed="false">
      <c r="B20" s="318" t="s">
        <v>571</v>
      </c>
      <c r="C20" s="0" t="s">
        <v>571</v>
      </c>
      <c r="D20" s="0" t="n">
        <v>102613</v>
      </c>
      <c r="E20" s="0" t="n">
        <v>59.35</v>
      </c>
      <c r="F20" s="0" t="n">
        <v>17.95</v>
      </c>
      <c r="G20" s="0" t="n">
        <v>-16.2</v>
      </c>
      <c r="H20" s="0" t="n">
        <v>-15.5</v>
      </c>
      <c r="I20" s="0" t="n">
        <v>-14.8</v>
      </c>
      <c r="J20" s="0" t="n">
        <v>-14.2</v>
      </c>
      <c r="K20" s="0" t="n">
        <v>-13.7</v>
      </c>
      <c r="L20" s="0" t="n">
        <v>-13.2</v>
      </c>
      <c r="M20" s="0" t="n">
        <v>-13.2</v>
      </c>
      <c r="N20" s="0" t="n">
        <v>-12.9</v>
      </c>
      <c r="O20" s="0" t="n">
        <v>-12.4</v>
      </c>
      <c r="P20" s="0" t="n">
        <v>-12.3</v>
      </c>
      <c r="Q20" s="0" t="n">
        <v>-11.9</v>
      </c>
      <c r="R20" s="0" t="n">
        <v>-11.8</v>
      </c>
      <c r="S20" s="0" t="n">
        <v>1</v>
      </c>
      <c r="T20" s="0" t="n">
        <f aca="false">VALUE(VLOOKUP(B20,FgeoVlookup,2,FALSE()))</f>
        <v>1</v>
      </c>
      <c r="U20" s="0" t="s">
        <v>657</v>
      </c>
    </row>
    <row r="21" customFormat="false" ht="12.75" hidden="false" customHeight="false" outlineLevel="0" collapsed="false">
      <c r="B21" s="318" t="s">
        <v>575</v>
      </c>
      <c r="C21" s="0" t="s">
        <v>575</v>
      </c>
      <c r="D21" s="0" t="n">
        <v>102640</v>
      </c>
      <c r="E21" s="0" t="n">
        <v>59.38</v>
      </c>
      <c r="F21" s="0" t="n">
        <v>17.96</v>
      </c>
      <c r="G21" s="0" t="n">
        <v>-16.2</v>
      </c>
      <c r="H21" s="0" t="n">
        <v>-15.5</v>
      </c>
      <c r="I21" s="0" t="n">
        <v>-14.8</v>
      </c>
      <c r="J21" s="0" t="n">
        <v>-14.2</v>
      </c>
      <c r="K21" s="0" t="n">
        <v>-13.7</v>
      </c>
      <c r="L21" s="0" t="n">
        <v>-13.2</v>
      </c>
      <c r="M21" s="0" t="n">
        <v>-13.2</v>
      </c>
      <c r="N21" s="0" t="n">
        <v>-12.9</v>
      </c>
      <c r="O21" s="0" t="n">
        <v>-12.4</v>
      </c>
      <c r="P21" s="0" t="n">
        <v>-12.3</v>
      </c>
      <c r="Q21" s="0" t="n">
        <v>-11.9</v>
      </c>
      <c r="R21" s="0" t="n">
        <v>-11.8</v>
      </c>
      <c r="S21" s="0" t="n">
        <v>1</v>
      </c>
      <c r="T21" s="0" t="n">
        <f aca="false">VALUE(VLOOKUP(B21,FgeoVlookup,2,FALSE()))</f>
        <v>1</v>
      </c>
      <c r="U21" s="0" t="s">
        <v>657</v>
      </c>
    </row>
    <row r="22" customFormat="false" ht="12.75" hidden="false" customHeight="false" outlineLevel="0" collapsed="false">
      <c r="B22" s="318" t="s">
        <v>578</v>
      </c>
      <c r="C22" s="0" t="s">
        <v>578</v>
      </c>
      <c r="D22" s="0" t="n">
        <v>102608</v>
      </c>
      <c r="E22" s="0" t="n">
        <v>59.19</v>
      </c>
      <c r="F22" s="0" t="n">
        <v>17.63</v>
      </c>
      <c r="G22" s="0" t="n">
        <v>-16.3</v>
      </c>
      <c r="H22" s="0" t="n">
        <v>-15.5</v>
      </c>
      <c r="I22" s="0" t="n">
        <v>-14.7</v>
      </c>
      <c r="J22" s="0" t="n">
        <v>-14.2</v>
      </c>
      <c r="K22" s="0" t="n">
        <v>-13.7</v>
      </c>
      <c r="L22" s="0" t="n">
        <v>-13.1</v>
      </c>
      <c r="M22" s="0" t="n">
        <v>-13.1</v>
      </c>
      <c r="N22" s="0" t="n">
        <v>-12.8</v>
      </c>
      <c r="O22" s="0" t="n">
        <v>-12.3</v>
      </c>
      <c r="P22" s="0" t="n">
        <v>-12.3</v>
      </c>
      <c r="Q22" s="0" t="n">
        <v>-12</v>
      </c>
      <c r="R22" s="0" t="n">
        <v>-11.8</v>
      </c>
      <c r="S22" s="0" t="n">
        <v>1</v>
      </c>
      <c r="T22" s="0" t="n">
        <f aca="false">VALUE(VLOOKUP(B22,FgeoVlookup,2,FALSE()))</f>
        <v>1</v>
      </c>
      <c r="U22" s="0" t="s">
        <v>657</v>
      </c>
    </row>
    <row r="23" customFormat="false" ht="12.75" hidden="false" customHeight="false" outlineLevel="0" collapsed="false">
      <c r="B23" s="318" t="s">
        <v>581</v>
      </c>
      <c r="C23" s="0" t="s">
        <v>581</v>
      </c>
      <c r="D23" s="0" t="n">
        <v>102611</v>
      </c>
      <c r="E23" s="0" t="n">
        <v>59.25</v>
      </c>
      <c r="F23" s="0" t="n">
        <v>18.28</v>
      </c>
      <c r="G23" s="0" t="n">
        <v>-14.9</v>
      </c>
      <c r="H23" s="0" t="n">
        <v>-14.5</v>
      </c>
      <c r="I23" s="0" t="n">
        <v>-14</v>
      </c>
      <c r="J23" s="0" t="n">
        <v>-13.3</v>
      </c>
      <c r="K23" s="0" t="n">
        <v>-12.9</v>
      </c>
      <c r="L23" s="0" t="n">
        <v>-12.6</v>
      </c>
      <c r="M23" s="0" t="n">
        <v>-12.5</v>
      </c>
      <c r="N23" s="0" t="n">
        <v>-12.1</v>
      </c>
      <c r="O23" s="0" t="n">
        <v>-11.9</v>
      </c>
      <c r="P23" s="0" t="n">
        <v>-11.7</v>
      </c>
      <c r="Q23" s="0" t="n">
        <v>-11.4</v>
      </c>
      <c r="R23" s="0" t="n">
        <v>-11.3</v>
      </c>
      <c r="S23" s="0" t="n">
        <v>1</v>
      </c>
      <c r="T23" s="0" t="n">
        <f aca="false">VALUE(VLOOKUP(B23,FgeoVlookup,2,FALSE()))</f>
        <v>1</v>
      </c>
      <c r="U23" s="0" t="s">
        <v>657</v>
      </c>
    </row>
    <row r="24" customFormat="false" ht="12.75" hidden="false" customHeight="false" outlineLevel="0" collapsed="false">
      <c r="B24" s="318" t="s">
        <v>584</v>
      </c>
      <c r="C24" s="0" t="s">
        <v>584</v>
      </c>
      <c r="D24" s="0" t="n">
        <v>102629</v>
      </c>
      <c r="E24" s="0" t="n">
        <v>59.45</v>
      </c>
      <c r="F24" s="0" t="n">
        <v>18.09</v>
      </c>
      <c r="G24" s="0" t="n">
        <v>-16.6</v>
      </c>
      <c r="H24" s="0" t="n">
        <v>-15.7</v>
      </c>
      <c r="I24" s="0" t="n">
        <v>-15</v>
      </c>
      <c r="J24" s="0" t="n">
        <v>-14.4</v>
      </c>
      <c r="K24" s="0" t="n">
        <v>-13.9</v>
      </c>
      <c r="L24" s="0" t="n">
        <v>-13.5</v>
      </c>
      <c r="M24" s="0" t="n">
        <v>-13.4</v>
      </c>
      <c r="N24" s="0" t="n">
        <v>-13</v>
      </c>
      <c r="O24" s="0" t="n">
        <v>-12.8</v>
      </c>
      <c r="P24" s="0" t="n">
        <v>-12.5</v>
      </c>
      <c r="Q24" s="0" t="n">
        <v>-12.2</v>
      </c>
      <c r="R24" s="0" t="n">
        <v>-11.9</v>
      </c>
      <c r="S24" s="0" t="n">
        <v>1</v>
      </c>
      <c r="T24" s="0" t="n">
        <f aca="false">VALUE(VLOOKUP(B24,FgeoVlookup,2,FALSE()))</f>
        <v>1</v>
      </c>
      <c r="U24" s="0" t="s">
        <v>657</v>
      </c>
    </row>
    <row r="25" customFormat="false" ht="12.75" hidden="false" customHeight="false" outlineLevel="0" collapsed="false">
      <c r="B25" s="318" t="s">
        <v>587</v>
      </c>
      <c r="C25" s="0" t="s">
        <v>587</v>
      </c>
      <c r="D25" s="0" t="n">
        <v>102607</v>
      </c>
      <c r="E25" s="0" t="n">
        <v>59.52</v>
      </c>
      <c r="F25" s="0" t="n">
        <v>17.64</v>
      </c>
      <c r="G25" s="0" t="n">
        <v>-17.4</v>
      </c>
      <c r="H25" s="0" t="n">
        <v>-16.6</v>
      </c>
      <c r="I25" s="0" t="n">
        <v>-15.8</v>
      </c>
      <c r="J25" s="0" t="n">
        <v>-15.5</v>
      </c>
      <c r="K25" s="0" t="n">
        <v>-14.6</v>
      </c>
      <c r="L25" s="0" t="n">
        <v>-14.4</v>
      </c>
      <c r="M25" s="0" t="n">
        <v>-14.2</v>
      </c>
      <c r="N25" s="0" t="n">
        <v>-13.8</v>
      </c>
      <c r="O25" s="0" t="n">
        <v>-13.6</v>
      </c>
      <c r="P25" s="0" t="n">
        <v>-13.2</v>
      </c>
      <c r="Q25" s="0" t="n">
        <v>-12.9</v>
      </c>
      <c r="R25" s="0" t="n">
        <v>-12.7</v>
      </c>
      <c r="S25" s="0" t="n">
        <v>1</v>
      </c>
      <c r="T25" s="0" t="n">
        <f aca="false">VALUE(VLOOKUP(B25,FgeoVlookup,2,FALSE()))</f>
        <v>1</v>
      </c>
      <c r="U25" s="0" t="s">
        <v>657</v>
      </c>
    </row>
    <row r="26" customFormat="false" ht="12.75" hidden="false" customHeight="false" outlineLevel="0" collapsed="false">
      <c r="B26" s="318" t="s">
        <v>590</v>
      </c>
      <c r="C26" s="0" t="s">
        <v>590</v>
      </c>
      <c r="D26" s="0" t="n">
        <v>102639</v>
      </c>
      <c r="E26" s="0" t="n">
        <v>59.52</v>
      </c>
      <c r="F26" s="0" t="n">
        <v>17.92</v>
      </c>
      <c r="G26" s="0" t="n">
        <v>-17.1</v>
      </c>
      <c r="H26" s="0" t="n">
        <v>-16.4</v>
      </c>
      <c r="I26" s="0" t="n">
        <v>-15.7</v>
      </c>
      <c r="J26" s="0" t="n">
        <v>-15.1</v>
      </c>
      <c r="K26" s="0" t="n">
        <v>-14.6</v>
      </c>
      <c r="L26" s="0" t="n">
        <v>-14.1</v>
      </c>
      <c r="M26" s="0" t="n">
        <v>-13.9</v>
      </c>
      <c r="N26" s="0" t="n">
        <v>-13.5</v>
      </c>
      <c r="O26" s="0" t="n">
        <v>-13.3</v>
      </c>
      <c r="P26" s="0" t="n">
        <v>-13</v>
      </c>
      <c r="Q26" s="0" t="n">
        <v>-12.7</v>
      </c>
      <c r="R26" s="0" t="n">
        <v>-12.7</v>
      </c>
      <c r="S26" s="0" t="n">
        <v>1</v>
      </c>
      <c r="T26" s="0" t="n">
        <f aca="false">VALUE(VLOOKUP(B26,FgeoVlookup,2,FALSE()))</f>
        <v>1</v>
      </c>
      <c r="U26" s="0" t="s">
        <v>657</v>
      </c>
    </row>
    <row r="27" customFormat="false" ht="12.75" hidden="false" customHeight="false" outlineLevel="0" collapsed="false">
      <c r="B27" s="318" t="s">
        <v>593</v>
      </c>
      <c r="C27" s="0" t="s">
        <v>593</v>
      </c>
      <c r="D27" s="0" t="n">
        <v>102649</v>
      </c>
      <c r="E27" s="0" t="n">
        <v>59.59</v>
      </c>
      <c r="F27" s="0" t="n">
        <v>18.2</v>
      </c>
      <c r="G27" s="0" t="n">
        <v>-17.1</v>
      </c>
      <c r="H27" s="0" t="n">
        <v>-16.2</v>
      </c>
      <c r="I27" s="0" t="n">
        <v>-15.6</v>
      </c>
      <c r="J27" s="0" t="n">
        <v>-14.8</v>
      </c>
      <c r="K27" s="0" t="n">
        <v>-14.2</v>
      </c>
      <c r="L27" s="0" t="n">
        <v>-14</v>
      </c>
      <c r="M27" s="0" t="n">
        <v>-13.7</v>
      </c>
      <c r="N27" s="0" t="n">
        <v>-13.3</v>
      </c>
      <c r="O27" s="0" t="n">
        <v>-13.1</v>
      </c>
      <c r="P27" s="0" t="n">
        <v>-12.8</v>
      </c>
      <c r="Q27" s="0" t="n">
        <v>-12.5</v>
      </c>
      <c r="R27" s="0" t="n">
        <v>-12.5</v>
      </c>
      <c r="S27" s="0" t="n">
        <v>1</v>
      </c>
      <c r="T27" s="0" t="n">
        <f aca="false">VALUE(VLOOKUP(B27,FgeoVlookup,2,FALSE()))</f>
        <v>1</v>
      </c>
      <c r="U27" s="0" t="s">
        <v>657</v>
      </c>
    </row>
    <row r="28" customFormat="false" ht="12.75" hidden="false" customHeight="false" outlineLevel="0" collapsed="false">
      <c r="B28" s="318" t="s">
        <v>596</v>
      </c>
      <c r="C28" s="0" t="s">
        <v>596</v>
      </c>
      <c r="D28" s="0" t="n">
        <v>102614</v>
      </c>
      <c r="E28" s="0" t="n">
        <v>59.4</v>
      </c>
      <c r="F28" s="0" t="n">
        <v>18.34</v>
      </c>
      <c r="G28" s="0" t="n">
        <v>-15.2</v>
      </c>
      <c r="H28" s="0" t="n">
        <v>-14.8</v>
      </c>
      <c r="I28" s="0" t="n">
        <v>-14.2</v>
      </c>
      <c r="J28" s="0" t="n">
        <v>-13.4</v>
      </c>
      <c r="K28" s="0" t="n">
        <v>-13.1</v>
      </c>
      <c r="L28" s="0" t="n">
        <v>-12.9</v>
      </c>
      <c r="M28" s="0" t="n">
        <v>-12.6</v>
      </c>
      <c r="N28" s="0" t="n">
        <v>-12.3</v>
      </c>
      <c r="O28" s="0" t="n">
        <v>-12</v>
      </c>
      <c r="P28" s="0" t="n">
        <v>-11.8</v>
      </c>
      <c r="Q28" s="0" t="n">
        <v>-11.5</v>
      </c>
      <c r="R28" s="0" t="n">
        <v>-11.3</v>
      </c>
      <c r="S28" s="0" t="n">
        <v>1</v>
      </c>
      <c r="T28" s="0" t="n">
        <f aca="false">VALUE(VLOOKUP(B28,FgeoVlookup,2,FALSE()))</f>
        <v>1</v>
      </c>
      <c r="U28" s="0" t="s">
        <v>657</v>
      </c>
    </row>
    <row r="29" customFormat="false" ht="12.75" hidden="false" customHeight="false" outlineLevel="0" collapsed="false">
      <c r="B29" s="318" t="s">
        <v>600</v>
      </c>
      <c r="C29" s="0" t="s">
        <v>600</v>
      </c>
      <c r="D29" s="0" t="n">
        <v>102625</v>
      </c>
      <c r="E29" s="0" t="n">
        <v>59.33</v>
      </c>
      <c r="F29" s="0" t="n">
        <v>18.39</v>
      </c>
      <c r="G29" s="0" t="n">
        <v>-14.7</v>
      </c>
      <c r="H29" s="0" t="n">
        <v>-14.5</v>
      </c>
      <c r="I29" s="0" t="n">
        <v>-13.9</v>
      </c>
      <c r="J29" s="0" t="n">
        <v>-13.2</v>
      </c>
      <c r="K29" s="0" t="n">
        <v>-12.9</v>
      </c>
      <c r="L29" s="0" t="n">
        <v>-12.6</v>
      </c>
      <c r="M29" s="0" t="n">
        <v>-12.5</v>
      </c>
      <c r="N29" s="0" t="n">
        <v>-12.1</v>
      </c>
      <c r="O29" s="0" t="n">
        <v>-12</v>
      </c>
      <c r="P29" s="0" t="n">
        <v>-11.7</v>
      </c>
      <c r="Q29" s="0" t="n">
        <v>-11.5</v>
      </c>
      <c r="R29" s="0" t="n">
        <v>-11.2</v>
      </c>
      <c r="S29" s="0" t="n">
        <v>1</v>
      </c>
      <c r="T29" s="0" t="n">
        <f aca="false">VALUE(VLOOKUP(B29,FgeoVlookup,2,FALSE()))</f>
        <v>1</v>
      </c>
      <c r="U29" s="0" t="s">
        <v>657</v>
      </c>
    </row>
    <row r="30" customFormat="false" ht="12.75" hidden="false" customHeight="false" outlineLevel="0" collapsed="false">
      <c r="B30" s="318" t="s">
        <v>604</v>
      </c>
      <c r="C30" s="0" t="s">
        <v>604</v>
      </c>
      <c r="D30" s="0" t="n">
        <v>102644</v>
      </c>
      <c r="E30" s="0" t="n">
        <v>59.47</v>
      </c>
      <c r="F30" s="0" t="n">
        <v>18.32</v>
      </c>
      <c r="G30" s="0" t="n">
        <v>-15.7</v>
      </c>
      <c r="H30" s="0" t="n">
        <v>-15.3</v>
      </c>
      <c r="I30" s="0" t="n">
        <v>-14.6</v>
      </c>
      <c r="J30" s="0" t="n">
        <v>-13.9</v>
      </c>
      <c r="K30" s="0" t="n">
        <v>-13.4</v>
      </c>
      <c r="L30" s="0" t="n">
        <v>-13.3</v>
      </c>
      <c r="M30" s="0" t="n">
        <v>-13</v>
      </c>
      <c r="N30" s="0" t="n">
        <v>-12.6</v>
      </c>
      <c r="O30" s="0" t="n">
        <v>-12.4</v>
      </c>
      <c r="P30" s="0" t="n">
        <v>-12.2</v>
      </c>
      <c r="Q30" s="0" t="n">
        <v>-11.9</v>
      </c>
      <c r="R30" s="0" t="n">
        <v>-11.6</v>
      </c>
      <c r="S30" s="0" t="n">
        <v>1</v>
      </c>
      <c r="T30" s="0" t="n">
        <f aca="false">VALUE(VLOOKUP(B30,FgeoVlookup,2,FALSE()))</f>
        <v>1</v>
      </c>
      <c r="U30" s="0" t="s">
        <v>657</v>
      </c>
    </row>
    <row r="31" customFormat="false" ht="12.75" hidden="false" customHeight="false" outlineLevel="0" collapsed="false">
      <c r="B31" s="318" t="s">
        <v>349</v>
      </c>
      <c r="C31" s="0" t="s">
        <v>349</v>
      </c>
      <c r="D31" s="0" t="n">
        <v>102332</v>
      </c>
      <c r="E31" s="0" t="n">
        <v>56.9</v>
      </c>
      <c r="F31" s="0" t="n">
        <v>14.56</v>
      </c>
      <c r="G31" s="0" t="n">
        <v>-15</v>
      </c>
      <c r="H31" s="0" t="n">
        <v>-13.8</v>
      </c>
      <c r="I31" s="0" t="n">
        <v>-13.4</v>
      </c>
      <c r="J31" s="0" t="n">
        <v>-13</v>
      </c>
      <c r="K31" s="0" t="n">
        <v>-12.4</v>
      </c>
      <c r="L31" s="0" t="n">
        <v>-12.4</v>
      </c>
      <c r="M31" s="0" t="n">
        <v>-12.4</v>
      </c>
      <c r="N31" s="0" t="n">
        <v>-12.2</v>
      </c>
      <c r="O31" s="0" t="n">
        <v>-11.9</v>
      </c>
      <c r="P31" s="0" t="n">
        <v>-11.6</v>
      </c>
      <c r="Q31" s="0" t="n">
        <v>-11.3</v>
      </c>
      <c r="R31" s="0" t="n">
        <v>-11</v>
      </c>
      <c r="S31" s="0" t="n">
        <v>1</v>
      </c>
      <c r="T31" s="0" t="n">
        <f aca="false">VALUE(VLOOKUP(B31,FgeoVlookup,2,FALSE()))</f>
        <v>1</v>
      </c>
      <c r="U31" s="0" t="s">
        <v>658</v>
      </c>
    </row>
    <row r="32" customFormat="false" ht="12.75" hidden="false" customHeight="false" outlineLevel="0" collapsed="false">
      <c r="A32" s="0" t="s">
        <v>659</v>
      </c>
      <c r="B32" s="318" t="s">
        <v>539</v>
      </c>
      <c r="C32" s="0" t="s">
        <v>659</v>
      </c>
      <c r="D32" s="0" t="n">
        <v>102516</v>
      </c>
      <c r="E32" s="0" t="n">
        <v>59.87</v>
      </c>
      <c r="F32" s="0" t="n">
        <v>15.02</v>
      </c>
      <c r="G32" s="0" t="n">
        <v>-19.2</v>
      </c>
      <c r="H32" s="0" t="n">
        <v>-18.4</v>
      </c>
      <c r="I32" s="0" t="n">
        <v>-17.8</v>
      </c>
      <c r="J32" s="0" t="n">
        <v>-17.4</v>
      </c>
      <c r="K32" s="0" t="n">
        <v>-16.6</v>
      </c>
      <c r="L32" s="0" t="n">
        <v>-16.3</v>
      </c>
      <c r="M32" s="0" t="n">
        <v>-16.3</v>
      </c>
      <c r="N32" s="0" t="n">
        <v>-16</v>
      </c>
      <c r="O32" s="0" t="n">
        <v>-15.7</v>
      </c>
      <c r="P32" s="0" t="n">
        <v>-15.3</v>
      </c>
      <c r="Q32" s="0" t="n">
        <v>-15</v>
      </c>
      <c r="R32" s="0" t="n">
        <v>-14.8</v>
      </c>
      <c r="S32" s="0" t="n">
        <v>1</v>
      </c>
      <c r="T32" s="0" t="n">
        <f aca="false">VALUE(VLOOKUP(B32,FgeoVlookup,2,FALSE()))</f>
        <v>1.2</v>
      </c>
      <c r="U32" s="0" t="s">
        <v>658</v>
      </c>
    </row>
    <row r="33" customFormat="false" ht="12.75" hidden="false" customHeight="false" outlineLevel="0" collapsed="false">
      <c r="B33" s="318" t="s">
        <v>370</v>
      </c>
      <c r="C33" s="0" t="s">
        <v>370</v>
      </c>
      <c r="D33" s="0" t="n">
        <v>102310</v>
      </c>
      <c r="E33" s="0" t="n">
        <v>56.75</v>
      </c>
      <c r="F33" s="0" t="n">
        <v>15.28</v>
      </c>
      <c r="G33" s="0" t="n">
        <v>-14.5</v>
      </c>
      <c r="H33" s="0" t="n">
        <v>-13.5</v>
      </c>
      <c r="I33" s="0" t="n">
        <v>-13.2</v>
      </c>
      <c r="J33" s="0" t="n">
        <v>-12.8</v>
      </c>
      <c r="K33" s="0" t="n">
        <v>-12.2</v>
      </c>
      <c r="L33" s="0" t="n">
        <v>-12.2</v>
      </c>
      <c r="M33" s="0" t="n">
        <v>-11.9</v>
      </c>
      <c r="N33" s="0" t="n">
        <v>-11.8</v>
      </c>
      <c r="O33" s="0" t="n">
        <v>-11.7</v>
      </c>
      <c r="P33" s="0" t="n">
        <v>-11.2</v>
      </c>
      <c r="Q33" s="0" t="n">
        <v>-10.8</v>
      </c>
      <c r="R33" s="0" t="n">
        <v>-10.6</v>
      </c>
      <c r="S33" s="0" t="n">
        <v>1</v>
      </c>
      <c r="T33" s="0" t="n">
        <f aca="false">VALUE(VLOOKUP(B33,FgeoVlookup,2,FALSE()))</f>
        <v>1</v>
      </c>
      <c r="U33" s="0" t="s">
        <v>658</v>
      </c>
    </row>
    <row r="34" customFormat="false" ht="12.75" hidden="false" customHeight="false" outlineLevel="0" collapsed="false">
      <c r="B34" s="318" t="s">
        <v>389</v>
      </c>
      <c r="C34" s="0" t="s">
        <v>389</v>
      </c>
      <c r="D34" s="0" t="n">
        <v>102312</v>
      </c>
      <c r="E34" s="0" t="n">
        <v>56.83</v>
      </c>
      <c r="F34" s="0" t="n">
        <v>13.95</v>
      </c>
      <c r="G34" s="0" t="n">
        <v>-15.3</v>
      </c>
      <c r="H34" s="0" t="n">
        <v>-14</v>
      </c>
      <c r="I34" s="0" t="n">
        <v>-13.7</v>
      </c>
      <c r="J34" s="0" t="n">
        <v>-13.2</v>
      </c>
      <c r="K34" s="0" t="n">
        <v>-12.8</v>
      </c>
      <c r="L34" s="0" t="n">
        <v>-12.5</v>
      </c>
      <c r="M34" s="0" t="n">
        <v>-12.5</v>
      </c>
      <c r="N34" s="0" t="n">
        <v>-12.4</v>
      </c>
      <c r="O34" s="0" t="n">
        <v>-12.2</v>
      </c>
      <c r="P34" s="0" t="n">
        <v>-11.9</v>
      </c>
      <c r="Q34" s="0" t="n">
        <v>-11.5</v>
      </c>
      <c r="R34" s="0" t="n">
        <v>-11.4</v>
      </c>
      <c r="S34" s="0" t="n">
        <v>1</v>
      </c>
      <c r="T34" s="0" t="n">
        <f aca="false">VALUE(VLOOKUP(B34,FgeoVlookup,2,FALSE()))</f>
        <v>1</v>
      </c>
      <c r="U34" s="0" t="s">
        <v>658</v>
      </c>
    </row>
    <row r="35" customFormat="false" ht="12.75" hidden="false" customHeight="false" outlineLevel="0" collapsed="false">
      <c r="B35" s="318" t="s">
        <v>409</v>
      </c>
      <c r="C35" s="0" t="s">
        <v>409</v>
      </c>
      <c r="D35" s="0" t="n">
        <v>102303</v>
      </c>
      <c r="E35" s="0" t="n">
        <v>56.46</v>
      </c>
      <c r="F35" s="0" t="n">
        <v>13.6</v>
      </c>
      <c r="G35" s="0" t="n">
        <v>-14.7</v>
      </c>
      <c r="H35" s="0" t="n">
        <v>-13.3</v>
      </c>
      <c r="I35" s="0" t="n">
        <v>-13</v>
      </c>
      <c r="J35" s="0" t="n">
        <v>-12.6</v>
      </c>
      <c r="K35" s="0" t="n">
        <v>-12.1</v>
      </c>
      <c r="L35" s="0" t="n">
        <v>-12.1</v>
      </c>
      <c r="M35" s="0" t="n">
        <v>-12.1</v>
      </c>
      <c r="N35" s="0" t="n">
        <v>-11.8</v>
      </c>
      <c r="O35" s="0" t="n">
        <v>-11.7</v>
      </c>
      <c r="P35" s="0" t="n">
        <v>-11.4</v>
      </c>
      <c r="Q35" s="0" t="n">
        <v>-11.2</v>
      </c>
      <c r="R35" s="0" t="n">
        <v>-11.1</v>
      </c>
      <c r="S35" s="0" t="n">
        <v>1</v>
      </c>
      <c r="T35" s="0" t="n">
        <f aca="false">VALUE(VLOOKUP(B35,FgeoVlookup,2,FALSE()))</f>
        <v>1</v>
      </c>
      <c r="U35" s="0" t="s">
        <v>658</v>
      </c>
    </row>
    <row r="36" customFormat="false" ht="12.75" hidden="false" customHeight="false" outlineLevel="0" collapsed="false">
      <c r="B36" s="318" t="s">
        <v>427</v>
      </c>
      <c r="C36" s="0" t="s">
        <v>427</v>
      </c>
      <c r="D36" s="0" t="n">
        <v>102305</v>
      </c>
      <c r="E36" s="0" t="n">
        <v>56.53</v>
      </c>
      <c r="F36" s="0" t="n">
        <v>14.97</v>
      </c>
      <c r="G36" s="0" t="n">
        <v>-13.9</v>
      </c>
      <c r="H36" s="0" t="n">
        <v>-12.8</v>
      </c>
      <c r="I36" s="0" t="n">
        <v>-12.5</v>
      </c>
      <c r="J36" s="0" t="n">
        <v>-12.1</v>
      </c>
      <c r="K36" s="0" t="n">
        <v>-11.7</v>
      </c>
      <c r="L36" s="0" t="n">
        <v>-11.7</v>
      </c>
      <c r="M36" s="0" t="n">
        <v>-11.4</v>
      </c>
      <c r="N36" s="0" t="n">
        <v>-11.2</v>
      </c>
      <c r="O36" s="0" t="n">
        <v>-10.9</v>
      </c>
      <c r="P36" s="0" t="n">
        <v>-10.7</v>
      </c>
      <c r="Q36" s="0" t="n">
        <v>-10.2</v>
      </c>
      <c r="R36" s="0" t="n">
        <v>-10.1</v>
      </c>
      <c r="S36" s="0" t="n">
        <v>1</v>
      </c>
      <c r="T36" s="0" t="n">
        <f aca="false">VALUE(VLOOKUP(B36,FgeoVlookup,2,FALSE()))</f>
        <v>1</v>
      </c>
      <c r="U36" s="0" t="s">
        <v>658</v>
      </c>
    </row>
    <row r="37" customFormat="false" ht="12.75" hidden="false" customHeight="false" outlineLevel="0" collapsed="false">
      <c r="B37" s="318" t="s">
        <v>445</v>
      </c>
      <c r="C37" s="0" t="s">
        <v>445</v>
      </c>
      <c r="D37" s="0" t="n">
        <v>102304</v>
      </c>
      <c r="E37" s="0" t="n">
        <v>56.56</v>
      </c>
      <c r="F37" s="0" t="n">
        <v>14.15</v>
      </c>
      <c r="G37" s="0" t="n">
        <v>-14.7</v>
      </c>
      <c r="H37" s="0" t="n">
        <v>-13.4</v>
      </c>
      <c r="I37" s="0" t="n">
        <v>-13</v>
      </c>
      <c r="J37" s="0" t="n">
        <v>-12.7</v>
      </c>
      <c r="K37" s="0" t="n">
        <v>-12.4</v>
      </c>
      <c r="L37" s="0" t="n">
        <v>-12.1</v>
      </c>
      <c r="M37" s="0" t="n">
        <v>-12.1</v>
      </c>
      <c r="N37" s="0" t="n">
        <v>-12</v>
      </c>
      <c r="O37" s="0" t="n">
        <v>-11.8</v>
      </c>
      <c r="P37" s="0" t="n">
        <v>-11.6</v>
      </c>
      <c r="Q37" s="0" t="n">
        <v>-11.2</v>
      </c>
      <c r="R37" s="0" t="n">
        <v>-11.1</v>
      </c>
      <c r="S37" s="0" t="n">
        <v>1</v>
      </c>
      <c r="T37" s="0" t="n">
        <f aca="false">VALUE(VLOOKUP(B37,FgeoVlookup,2,FALSE()))</f>
        <v>1</v>
      </c>
      <c r="U37" s="0" t="s">
        <v>658</v>
      </c>
    </row>
    <row r="38" customFormat="false" ht="12.75" hidden="false" customHeight="false" outlineLevel="0" collapsed="false">
      <c r="B38" s="318" t="s">
        <v>464</v>
      </c>
      <c r="C38" s="0" t="s">
        <v>464</v>
      </c>
      <c r="D38" s="0" t="n">
        <v>102311</v>
      </c>
      <c r="E38" s="0" t="n">
        <v>56.88</v>
      </c>
      <c r="F38" s="0" t="n">
        <v>14.79</v>
      </c>
      <c r="G38" s="0" t="n">
        <v>-15</v>
      </c>
      <c r="H38" s="0" t="n">
        <v>-13.8</v>
      </c>
      <c r="I38" s="0" t="n">
        <v>-13.4</v>
      </c>
      <c r="J38" s="0" t="n">
        <v>-13</v>
      </c>
      <c r="K38" s="0" t="n">
        <v>-12.5</v>
      </c>
      <c r="L38" s="0" t="n">
        <v>-12.5</v>
      </c>
      <c r="M38" s="0" t="n">
        <v>-12.3</v>
      </c>
      <c r="N38" s="0" t="n">
        <v>-12.1</v>
      </c>
      <c r="O38" s="0" t="n">
        <v>-11.9</v>
      </c>
      <c r="P38" s="0" t="n">
        <v>-11.5</v>
      </c>
      <c r="Q38" s="0" t="n">
        <v>-11.2</v>
      </c>
      <c r="R38" s="0" t="n">
        <v>-11</v>
      </c>
      <c r="S38" s="0" t="n">
        <v>1</v>
      </c>
      <c r="T38" s="0" t="n">
        <f aca="false">VALUE(VLOOKUP(B38,FgeoVlookup,2,FALSE()))</f>
        <v>1</v>
      </c>
      <c r="U38" s="0" t="s">
        <v>658</v>
      </c>
    </row>
    <row r="39" customFormat="false" ht="13.5" hidden="false" customHeight="true" outlineLevel="0" collapsed="false">
      <c r="A39" s="0" t="s">
        <v>660</v>
      </c>
      <c r="B39" s="326" t="s">
        <v>414</v>
      </c>
      <c r="C39" s="0" t="s">
        <v>660</v>
      </c>
      <c r="D39" s="0" t="n">
        <v>102521</v>
      </c>
      <c r="E39" s="0" t="n">
        <v>59.89</v>
      </c>
      <c r="F39" s="0" t="n">
        <v>12.31</v>
      </c>
      <c r="G39" s="0" t="n">
        <v>-21.1</v>
      </c>
      <c r="H39" s="0" t="n">
        <v>-20.6</v>
      </c>
      <c r="I39" s="0" t="n">
        <v>-19.8</v>
      </c>
      <c r="J39" s="0" t="n">
        <v>-18.9</v>
      </c>
      <c r="K39" s="0" t="n">
        <v>-18.6</v>
      </c>
      <c r="L39" s="0" t="n">
        <v>-18.2</v>
      </c>
      <c r="M39" s="0" t="n">
        <v>-18.1</v>
      </c>
      <c r="N39" s="0" t="n">
        <v>-18</v>
      </c>
      <c r="O39" s="0" t="n">
        <v>-18</v>
      </c>
      <c r="P39" s="0" t="n">
        <v>-17.8</v>
      </c>
      <c r="Q39" s="0" t="n">
        <v>-17.5</v>
      </c>
      <c r="R39" s="0" t="n">
        <v>-17.1</v>
      </c>
      <c r="S39" s="0" t="n">
        <v>1.1</v>
      </c>
      <c r="T39" s="0" t="n">
        <f aca="false">VALUE(VLOOKUP(B39,FgeoVlookup,2,FALSE()))</f>
        <v>1.1</v>
      </c>
      <c r="U39" s="111" t="s">
        <v>414</v>
      </c>
      <c r="V39" s="0" t="s">
        <v>661</v>
      </c>
    </row>
    <row r="40" customFormat="false" ht="12.75" hidden="false" customHeight="false" outlineLevel="0" collapsed="false">
      <c r="A40" s="0" t="s">
        <v>662</v>
      </c>
      <c r="B40" s="327" t="s">
        <v>507</v>
      </c>
      <c r="C40" s="0" t="s">
        <v>662</v>
      </c>
      <c r="D40" s="0" t="n">
        <v>102717</v>
      </c>
      <c r="E40" s="0" t="n">
        <v>61.36</v>
      </c>
      <c r="F40" s="0" t="n">
        <v>15.72</v>
      </c>
      <c r="G40" s="0" t="n">
        <v>-23.5</v>
      </c>
      <c r="H40" s="0" t="n">
        <v>-22.8</v>
      </c>
      <c r="I40" s="0" t="n">
        <v>-22.1</v>
      </c>
      <c r="J40" s="0" t="n">
        <v>-21</v>
      </c>
      <c r="K40" s="0" t="n">
        <v>-20.8</v>
      </c>
      <c r="L40" s="0" t="n">
        <v>-20.3</v>
      </c>
      <c r="M40" s="0" t="n">
        <v>-20</v>
      </c>
      <c r="N40" s="0" t="n">
        <v>-19.9</v>
      </c>
      <c r="O40" s="0" t="n">
        <v>-19.4</v>
      </c>
      <c r="P40" s="0" t="n">
        <v>-19.1</v>
      </c>
      <c r="Q40" s="0" t="n">
        <v>-18.7</v>
      </c>
      <c r="R40" s="0" t="n">
        <v>-18.4</v>
      </c>
      <c r="S40" s="0" t="n">
        <v>1.3</v>
      </c>
      <c r="T40" s="0" t="n">
        <f aca="false">VALUE(VLOOKUP(B40,FgeoVlookup,2,FALSE()))</f>
        <v>1.3</v>
      </c>
      <c r="U40" s="111" t="s">
        <v>507</v>
      </c>
      <c r="V40" s="0" t="s">
        <v>324</v>
      </c>
    </row>
    <row r="41" customFormat="false" ht="12.75" hidden="false" customHeight="false" outlineLevel="0" collapsed="false">
      <c r="B41" s="318" t="s">
        <v>353</v>
      </c>
      <c r="C41" s="0" t="s">
        <v>353</v>
      </c>
      <c r="D41" s="0" t="n">
        <v>102417</v>
      </c>
      <c r="E41" s="0" t="n">
        <v>59.37</v>
      </c>
      <c r="F41" s="0" t="n">
        <v>16.5</v>
      </c>
      <c r="G41" s="0" t="n">
        <v>-18.3</v>
      </c>
      <c r="H41" s="0" t="n">
        <v>-17.8</v>
      </c>
      <c r="I41" s="0" t="n">
        <v>-17</v>
      </c>
      <c r="J41" s="0" t="n">
        <v>-16.2</v>
      </c>
      <c r="K41" s="0" t="n">
        <v>-15.7</v>
      </c>
      <c r="L41" s="0" t="n">
        <v>-15.3</v>
      </c>
      <c r="M41" s="0" t="n">
        <v>-15.1</v>
      </c>
      <c r="N41" s="0" t="n">
        <v>-14.9</v>
      </c>
      <c r="O41" s="0" t="n">
        <v>-14.5</v>
      </c>
      <c r="P41" s="0" t="n">
        <v>-14</v>
      </c>
      <c r="Q41" s="0" t="n">
        <v>-13.9</v>
      </c>
      <c r="R41" s="0" t="n">
        <v>-13.9</v>
      </c>
      <c r="S41" s="0" t="n">
        <v>1</v>
      </c>
      <c r="T41" s="0" t="n">
        <f aca="false">VALUE(VLOOKUP(B41,FgeoVlookup,2,FALSE()))</f>
        <v>1</v>
      </c>
      <c r="U41" s="0" t="s">
        <v>663</v>
      </c>
    </row>
    <row r="42" customFormat="false" ht="12.75" hidden="false" customHeight="false" outlineLevel="0" collapsed="false">
      <c r="B42" s="318" t="s">
        <v>374</v>
      </c>
      <c r="C42" s="0" t="s">
        <v>374</v>
      </c>
      <c r="D42" s="0" t="n">
        <v>102412</v>
      </c>
      <c r="E42" s="0" t="n">
        <v>59.06</v>
      </c>
      <c r="F42" s="0" t="n">
        <v>16.6</v>
      </c>
      <c r="G42" s="0" t="n">
        <v>-17.9</v>
      </c>
      <c r="H42" s="0" t="n">
        <v>-17.2</v>
      </c>
      <c r="I42" s="0" t="n">
        <v>-16.2</v>
      </c>
      <c r="J42" s="0" t="n">
        <v>-15.5</v>
      </c>
      <c r="K42" s="0" t="n">
        <v>-14.8</v>
      </c>
      <c r="L42" s="0" t="n">
        <v>-14.7</v>
      </c>
      <c r="M42" s="0" t="n">
        <v>-14.4</v>
      </c>
      <c r="N42" s="0" t="n">
        <v>-14.1</v>
      </c>
      <c r="O42" s="0" t="n">
        <v>-13.7</v>
      </c>
      <c r="P42" s="0" t="n">
        <v>-13.4</v>
      </c>
      <c r="Q42" s="0" t="n">
        <v>-13</v>
      </c>
      <c r="R42" s="0" t="n">
        <v>-12.7</v>
      </c>
      <c r="S42" s="0" t="n">
        <v>1</v>
      </c>
      <c r="T42" s="0" t="n">
        <f aca="false">VALUE(VLOOKUP(B42,FgeoVlookup,2,FALSE()))</f>
        <v>1</v>
      </c>
      <c r="U42" s="0" t="s">
        <v>663</v>
      </c>
    </row>
    <row r="43" customFormat="false" ht="12.75" hidden="false" customHeight="false" outlineLevel="0" collapsed="false">
      <c r="B43" s="318" t="s">
        <v>393</v>
      </c>
      <c r="C43" s="0" t="s">
        <v>393</v>
      </c>
      <c r="D43" s="0" t="n">
        <v>102419</v>
      </c>
      <c r="E43" s="0" t="n">
        <v>59.04</v>
      </c>
      <c r="F43" s="0" t="n">
        <v>17.31</v>
      </c>
      <c r="G43" s="0" t="n">
        <v>-16.2</v>
      </c>
      <c r="H43" s="0" t="n">
        <v>-15.7</v>
      </c>
      <c r="I43" s="0" t="n">
        <v>-14.5</v>
      </c>
      <c r="J43" s="0" t="n">
        <v>-13.9</v>
      </c>
      <c r="K43" s="0" t="n">
        <v>-13.3</v>
      </c>
      <c r="L43" s="0" t="n">
        <v>-13.3</v>
      </c>
      <c r="M43" s="0" t="n">
        <v>-13.1</v>
      </c>
      <c r="N43" s="0" t="n">
        <v>-12.8</v>
      </c>
      <c r="O43" s="0" t="n">
        <v>-12.5</v>
      </c>
      <c r="P43" s="0" t="n">
        <v>-12.3</v>
      </c>
      <c r="Q43" s="0" t="n">
        <v>-11.8</v>
      </c>
      <c r="R43" s="0" t="n">
        <v>-11.6</v>
      </c>
      <c r="S43" s="0" t="n">
        <v>1</v>
      </c>
      <c r="T43" s="0" t="n">
        <f aca="false">VALUE(VLOOKUP(B43,FgeoVlookup,2,FALSE()))</f>
        <v>1</v>
      </c>
      <c r="U43" s="0" t="s">
        <v>663</v>
      </c>
    </row>
    <row r="44" customFormat="false" ht="12.75" hidden="false" customHeight="false" outlineLevel="0" collapsed="false">
      <c r="B44" s="318" t="s">
        <v>413</v>
      </c>
      <c r="C44" s="0" t="s">
        <v>413</v>
      </c>
      <c r="D44" s="0" t="n">
        <v>102411</v>
      </c>
      <c r="E44" s="0" t="n">
        <v>58.99</v>
      </c>
      <c r="F44" s="0" t="n">
        <v>16.2</v>
      </c>
      <c r="G44" s="0" t="n">
        <v>-17.6</v>
      </c>
      <c r="H44" s="0" t="n">
        <v>-17.1</v>
      </c>
      <c r="I44" s="0" t="n">
        <v>-15.8</v>
      </c>
      <c r="J44" s="0" t="n">
        <v>-15.5</v>
      </c>
      <c r="K44" s="0" t="n">
        <v>-14.8</v>
      </c>
      <c r="L44" s="0" t="n">
        <v>-14.5</v>
      </c>
      <c r="M44" s="0" t="n">
        <v>-14.2</v>
      </c>
      <c r="N44" s="0" t="n">
        <v>-14.1</v>
      </c>
      <c r="O44" s="0" t="n">
        <v>-13.7</v>
      </c>
      <c r="P44" s="0" t="n">
        <v>-13.3</v>
      </c>
      <c r="Q44" s="0" t="n">
        <v>-12.9</v>
      </c>
      <c r="R44" s="0" t="n">
        <v>-12.8</v>
      </c>
      <c r="S44" s="0" t="n">
        <v>1</v>
      </c>
      <c r="T44" s="0" t="n">
        <f aca="false">VALUE(VLOOKUP(B44,FgeoVlookup,2,FALSE()))</f>
        <v>1</v>
      </c>
      <c r="U44" s="0" t="s">
        <v>663</v>
      </c>
    </row>
    <row r="45" customFormat="false" ht="12.75" hidden="false" customHeight="false" outlineLevel="0" collapsed="false">
      <c r="B45" s="318" t="s">
        <v>476</v>
      </c>
      <c r="C45" s="0" t="s">
        <v>476</v>
      </c>
      <c r="D45" s="0" t="n">
        <v>102409</v>
      </c>
      <c r="E45" s="0" t="n">
        <v>58.59</v>
      </c>
      <c r="F45" s="0" t="n">
        <v>16.19</v>
      </c>
      <c r="G45" s="0" t="n">
        <v>-16.1</v>
      </c>
      <c r="H45" s="0" t="n">
        <v>-15.3</v>
      </c>
      <c r="I45" s="0" t="n">
        <v>-14.2</v>
      </c>
      <c r="J45" s="0" t="n">
        <v>-13.9</v>
      </c>
      <c r="K45" s="0" t="n">
        <v>-13.5</v>
      </c>
      <c r="L45" s="0" t="n">
        <v>-13.2</v>
      </c>
      <c r="M45" s="0" t="n">
        <v>-12.9</v>
      </c>
      <c r="N45" s="0" t="n">
        <v>-12.8</v>
      </c>
      <c r="O45" s="0" t="n">
        <v>-12.3</v>
      </c>
      <c r="P45" s="0" t="n">
        <v>-12</v>
      </c>
      <c r="Q45" s="0" t="n">
        <v>-11.4</v>
      </c>
      <c r="R45" s="0" t="n">
        <v>-11.4</v>
      </c>
      <c r="S45" s="0" t="n">
        <v>1</v>
      </c>
      <c r="T45" s="0" t="n">
        <f aca="false">VALUE(VLOOKUP(B45,FgeoVlookup,2,FALSE()))</f>
        <v>1</v>
      </c>
      <c r="U45" s="328" t="s">
        <v>664</v>
      </c>
    </row>
    <row r="46" customFormat="false" ht="12.75" hidden="false" customHeight="false" outlineLevel="0" collapsed="false">
      <c r="B46" s="318" t="s">
        <v>431</v>
      </c>
      <c r="C46" s="0" t="s">
        <v>431</v>
      </c>
      <c r="D46" s="0" t="n">
        <v>102413</v>
      </c>
      <c r="E46" s="0" t="n">
        <v>58.76</v>
      </c>
      <c r="F46" s="0" t="n">
        <v>17.01</v>
      </c>
      <c r="G46" s="0" t="n">
        <v>-15.5</v>
      </c>
      <c r="H46" s="0" t="n">
        <v>-14.2</v>
      </c>
      <c r="I46" s="0" t="n">
        <v>-13.8</v>
      </c>
      <c r="J46" s="0" t="n">
        <v>-13.2</v>
      </c>
      <c r="K46" s="0" t="n">
        <v>-12.7</v>
      </c>
      <c r="L46" s="0" t="n">
        <v>-12.7</v>
      </c>
      <c r="M46" s="0" t="n">
        <v>-12.5</v>
      </c>
      <c r="N46" s="0" t="n">
        <v>-12.2</v>
      </c>
      <c r="O46" s="0" t="n">
        <v>-11.9</v>
      </c>
      <c r="P46" s="0" t="n">
        <v>-11.6</v>
      </c>
      <c r="Q46" s="0" t="n">
        <v>-11.3</v>
      </c>
      <c r="R46" s="0" t="n">
        <v>-11</v>
      </c>
      <c r="S46" s="0" t="n">
        <v>1</v>
      </c>
      <c r="T46" s="0" t="n">
        <f aca="false">VALUE(VLOOKUP(B46,FgeoVlookup,2,FALSE()))</f>
        <v>1</v>
      </c>
      <c r="U46" s="0" t="s">
        <v>663</v>
      </c>
    </row>
    <row r="47" customFormat="false" ht="12.75" hidden="false" customHeight="false" outlineLevel="0" collapsed="false">
      <c r="B47" s="318" t="s">
        <v>449</v>
      </c>
      <c r="C47" s="0" t="s">
        <v>449</v>
      </c>
      <c r="D47" s="0" t="n">
        <v>102416</v>
      </c>
      <c r="E47" s="0" t="n">
        <v>59.37</v>
      </c>
      <c r="F47" s="0" t="n">
        <v>17.02</v>
      </c>
      <c r="G47" s="0" t="n">
        <v>-18.6</v>
      </c>
      <c r="H47" s="0" t="n">
        <v>-17.7</v>
      </c>
      <c r="I47" s="0" t="n">
        <v>-16.9</v>
      </c>
      <c r="J47" s="0" t="n">
        <v>-16.3</v>
      </c>
      <c r="K47" s="0" t="n">
        <v>-15.8</v>
      </c>
      <c r="L47" s="0" t="n">
        <v>-15.2</v>
      </c>
      <c r="M47" s="0" t="n">
        <v>-15</v>
      </c>
      <c r="N47" s="0" t="n">
        <v>-14.8</v>
      </c>
      <c r="O47" s="0" t="n">
        <v>-14.5</v>
      </c>
      <c r="P47" s="0" t="n">
        <v>-14</v>
      </c>
      <c r="Q47" s="0" t="n">
        <v>-13.9</v>
      </c>
      <c r="R47" s="0" t="n">
        <v>-13.7</v>
      </c>
      <c r="S47" s="0" t="n">
        <v>1</v>
      </c>
      <c r="T47" s="0" t="n">
        <f aca="false">VALUE(VLOOKUP(B47,FgeoVlookup,2,FALSE()))</f>
        <v>1</v>
      </c>
      <c r="U47" s="0" t="s">
        <v>663</v>
      </c>
    </row>
    <row r="48" customFormat="false" ht="12.75" hidden="false" customHeight="false" outlineLevel="0" collapsed="false">
      <c r="B48" s="318" t="s">
        <v>468</v>
      </c>
      <c r="C48" s="0" t="s">
        <v>468</v>
      </c>
      <c r="D48" s="0" t="n">
        <v>102415</v>
      </c>
      <c r="E48" s="0" t="n">
        <v>58.9</v>
      </c>
      <c r="F48" s="0" t="n">
        <v>17.56</v>
      </c>
      <c r="G48" s="0" t="n">
        <v>-14.9</v>
      </c>
      <c r="H48" s="0" t="n">
        <v>-14</v>
      </c>
      <c r="I48" s="0" t="n">
        <v>-13.3</v>
      </c>
      <c r="J48" s="0" t="n">
        <v>-12.8</v>
      </c>
      <c r="K48" s="0" t="n">
        <v>-12.2</v>
      </c>
      <c r="L48" s="0" t="n">
        <v>-12.2</v>
      </c>
      <c r="M48" s="0" t="n">
        <v>-11.9</v>
      </c>
      <c r="N48" s="0" t="n">
        <v>-11.9</v>
      </c>
      <c r="O48" s="0" t="n">
        <v>-11.5</v>
      </c>
      <c r="P48" s="0" t="n">
        <v>-11.2</v>
      </c>
      <c r="Q48" s="0" t="n">
        <v>-10.8</v>
      </c>
      <c r="R48" s="0" t="n">
        <v>-10.7</v>
      </c>
      <c r="S48" s="0" t="n">
        <v>1</v>
      </c>
      <c r="T48" s="0" t="n">
        <f aca="false">VALUE(VLOOKUP(B48,FgeoVlookup,2,FALSE()))</f>
        <v>1</v>
      </c>
      <c r="U48" s="0" t="s">
        <v>663</v>
      </c>
    </row>
    <row r="49" customFormat="false" ht="12.75" hidden="false" customHeight="false" outlineLevel="0" collapsed="false">
      <c r="B49" s="318" t="s">
        <v>485</v>
      </c>
      <c r="C49" s="0" t="s">
        <v>485</v>
      </c>
      <c r="D49" s="0" t="n">
        <v>102410</v>
      </c>
      <c r="E49" s="0" t="n">
        <v>59.05</v>
      </c>
      <c r="F49" s="0" t="n">
        <v>15.88</v>
      </c>
      <c r="G49" s="0" t="n">
        <v>-18</v>
      </c>
      <c r="H49" s="0" t="n">
        <v>-17.2</v>
      </c>
      <c r="I49" s="0" t="n">
        <v>-16</v>
      </c>
      <c r="J49" s="0" t="n">
        <v>-15.7</v>
      </c>
      <c r="K49" s="0" t="n">
        <v>-15.2</v>
      </c>
      <c r="L49" s="0" t="n">
        <v>-14.8</v>
      </c>
      <c r="M49" s="0" t="n">
        <v>-14.5</v>
      </c>
      <c r="N49" s="0" t="n">
        <v>-14.5</v>
      </c>
      <c r="O49" s="0" t="n">
        <v>-13.9</v>
      </c>
      <c r="P49" s="0" t="n">
        <v>-13.5</v>
      </c>
      <c r="Q49" s="0" t="n">
        <v>-13.2</v>
      </c>
      <c r="R49" s="0" t="n">
        <v>-12.9</v>
      </c>
      <c r="S49" s="0" t="n">
        <v>1</v>
      </c>
      <c r="T49" s="0" t="n">
        <f aca="false">VALUE(VLOOKUP(B49,FgeoVlookup,2,FALSE()))</f>
        <v>1</v>
      </c>
      <c r="U49" s="0" t="s">
        <v>663</v>
      </c>
    </row>
    <row r="50" customFormat="false" ht="12.75" hidden="false" customHeight="false" outlineLevel="0" collapsed="false">
      <c r="B50" s="318" t="s">
        <v>345</v>
      </c>
      <c r="C50" s="0" t="s">
        <v>345</v>
      </c>
      <c r="D50" s="0" t="n">
        <v>102313</v>
      </c>
      <c r="E50" s="0" t="n">
        <v>56.9</v>
      </c>
      <c r="F50" s="0" t="n">
        <v>12.5</v>
      </c>
      <c r="G50" s="0" t="n">
        <v>-12.9</v>
      </c>
      <c r="H50" s="0" t="n">
        <v>-12.2</v>
      </c>
      <c r="I50" s="0" t="n">
        <v>-11.9</v>
      </c>
      <c r="J50" s="0" t="n">
        <v>-11.1</v>
      </c>
      <c r="K50" s="0" t="n">
        <v>-11</v>
      </c>
      <c r="L50" s="0" t="n">
        <v>-11</v>
      </c>
      <c r="M50" s="0" t="n">
        <v>-11</v>
      </c>
      <c r="N50" s="0" t="n">
        <v>-10.9</v>
      </c>
      <c r="O50" s="0" t="n">
        <v>-10.8</v>
      </c>
      <c r="P50" s="0" t="n">
        <v>-10.4</v>
      </c>
      <c r="Q50" s="0" t="n">
        <v>-10.2</v>
      </c>
      <c r="R50" s="0" t="n">
        <v>-10.1</v>
      </c>
      <c r="S50" s="0" t="n">
        <v>0.9</v>
      </c>
      <c r="T50" s="0" t="n">
        <f aca="false">VALUE(VLOOKUP(B50,FgeoVlookup,2,FALSE()))</f>
        <v>0.9</v>
      </c>
      <c r="U50" s="0" t="s">
        <v>665</v>
      </c>
    </row>
    <row r="51" customFormat="false" ht="12.75" hidden="false" customHeight="false" outlineLevel="0" collapsed="false">
      <c r="B51" s="318" t="s">
        <v>366</v>
      </c>
      <c r="C51" s="0" t="s">
        <v>366</v>
      </c>
      <c r="D51" s="0" t="n">
        <v>102302</v>
      </c>
      <c r="E51" s="0" t="n">
        <v>56.67</v>
      </c>
      <c r="F51" s="0" t="n">
        <v>12.87</v>
      </c>
      <c r="G51" s="0" t="n">
        <v>-13.3</v>
      </c>
      <c r="H51" s="0" t="n">
        <v>-12.3</v>
      </c>
      <c r="I51" s="0" t="n">
        <v>-11.6</v>
      </c>
      <c r="J51" s="0" t="n">
        <v>-11.5</v>
      </c>
      <c r="K51" s="0" t="n">
        <v>-11.1</v>
      </c>
      <c r="L51" s="0" t="n">
        <v>-11.1</v>
      </c>
      <c r="M51" s="0" t="n">
        <v>-11.1</v>
      </c>
      <c r="N51" s="0" t="n">
        <v>-11.1</v>
      </c>
      <c r="O51" s="0" t="n">
        <v>-10.9</v>
      </c>
      <c r="P51" s="0" t="n">
        <v>-10.4</v>
      </c>
      <c r="Q51" s="0" t="n">
        <v>-10.2</v>
      </c>
      <c r="R51" s="0" t="n">
        <v>-10.1</v>
      </c>
      <c r="S51" s="0" t="n">
        <v>0.9</v>
      </c>
      <c r="T51" s="0" t="n">
        <f aca="false">VALUE(VLOOKUP(B51,FgeoVlookup,2,FALSE()))</f>
        <v>0.9</v>
      </c>
      <c r="U51" s="0" t="s">
        <v>665</v>
      </c>
    </row>
    <row r="52" customFormat="false" ht="12.75" hidden="false" customHeight="false" outlineLevel="0" collapsed="false">
      <c r="B52" s="318" t="s">
        <v>386</v>
      </c>
      <c r="C52" s="0" t="s">
        <v>386</v>
      </c>
      <c r="D52" s="0" t="n">
        <v>102301</v>
      </c>
      <c r="E52" s="0" t="n">
        <v>56.51</v>
      </c>
      <c r="F52" s="0" t="n">
        <v>13.04</v>
      </c>
      <c r="G52" s="0" t="n">
        <v>-13</v>
      </c>
      <c r="H52" s="0" t="n">
        <v>-12.1</v>
      </c>
      <c r="I52" s="0" t="n">
        <v>-11.4</v>
      </c>
      <c r="J52" s="0" t="n">
        <v>-11.4</v>
      </c>
      <c r="K52" s="0" t="n">
        <v>-10.9</v>
      </c>
      <c r="L52" s="0" t="n">
        <v>-10.9</v>
      </c>
      <c r="M52" s="0" t="n">
        <v>-10.9</v>
      </c>
      <c r="N52" s="0" t="n">
        <v>-10.7</v>
      </c>
      <c r="O52" s="0" t="n">
        <v>-10.7</v>
      </c>
      <c r="P52" s="0" t="n">
        <v>-10.2</v>
      </c>
      <c r="Q52" s="0" t="n">
        <v>-10.1</v>
      </c>
      <c r="R52" s="0" t="n">
        <v>-9.9</v>
      </c>
      <c r="S52" s="0" t="n">
        <v>0.9</v>
      </c>
      <c r="T52" s="0" t="n">
        <f aca="false">VALUE(VLOOKUP(B52,FgeoVlookup,2,FALSE()))</f>
        <v>0.9</v>
      </c>
      <c r="U52" s="0" t="s">
        <v>665</v>
      </c>
    </row>
    <row r="53" customFormat="false" ht="12.75" hidden="false" customHeight="false" outlineLevel="0" collapsed="false">
      <c r="B53" s="318" t="s">
        <v>405</v>
      </c>
      <c r="C53" s="0" t="s">
        <v>405</v>
      </c>
      <c r="D53" s="0" t="n">
        <v>102231</v>
      </c>
      <c r="E53" s="0" t="n">
        <v>57.11</v>
      </c>
      <c r="F53" s="0" t="n">
        <v>12.78</v>
      </c>
      <c r="G53" s="0" t="n">
        <v>-14.6</v>
      </c>
      <c r="H53" s="0" t="n">
        <v>-13.8</v>
      </c>
      <c r="I53" s="0" t="n">
        <v>-13.3</v>
      </c>
      <c r="J53" s="0" t="n">
        <v>-12.6</v>
      </c>
      <c r="K53" s="0" t="n">
        <v>-12.4</v>
      </c>
      <c r="L53" s="0" t="n">
        <v>-12.4</v>
      </c>
      <c r="M53" s="0" t="n">
        <v>-12.4</v>
      </c>
      <c r="N53" s="0" t="n">
        <v>-12.4</v>
      </c>
      <c r="O53" s="0" t="n">
        <v>-12.2</v>
      </c>
      <c r="P53" s="0" t="n">
        <v>-11.9</v>
      </c>
      <c r="Q53" s="0" t="n">
        <v>-11.6</v>
      </c>
      <c r="R53" s="0" t="n">
        <v>-11.6</v>
      </c>
      <c r="S53" s="0" t="n">
        <v>0.9</v>
      </c>
      <c r="T53" s="0" t="n">
        <f aca="false">VALUE(VLOOKUP(B53,FgeoVlookup,2,FALSE()))</f>
        <v>0.9</v>
      </c>
      <c r="U53" s="0" t="s">
        <v>665</v>
      </c>
    </row>
    <row r="54" customFormat="false" ht="12.75" hidden="false" customHeight="false" outlineLevel="0" collapsed="false">
      <c r="B54" s="318" t="s">
        <v>424</v>
      </c>
      <c r="C54" s="0" t="s">
        <v>424</v>
      </c>
      <c r="D54" s="0" t="n">
        <v>102315</v>
      </c>
      <c r="E54" s="0" t="n">
        <v>57.49</v>
      </c>
      <c r="F54" s="0" t="n">
        <v>12.08</v>
      </c>
      <c r="G54" s="0" t="n">
        <v>-12.2</v>
      </c>
      <c r="H54" s="0" t="n">
        <v>-11.4</v>
      </c>
      <c r="I54" s="0" t="n">
        <v>-11.1</v>
      </c>
      <c r="J54" s="0" t="n">
        <v>-10.4</v>
      </c>
      <c r="K54" s="0" t="n">
        <v>-10.4</v>
      </c>
      <c r="L54" s="0" t="n">
        <v>-10.4</v>
      </c>
      <c r="M54" s="0" t="n">
        <v>-10.4</v>
      </c>
      <c r="N54" s="0" t="n">
        <v>-10.4</v>
      </c>
      <c r="O54" s="0" t="n">
        <v>-10.1</v>
      </c>
      <c r="P54" s="0" t="n">
        <v>-9.9</v>
      </c>
      <c r="Q54" s="0" t="n">
        <v>-9.6</v>
      </c>
      <c r="R54" s="0" t="n">
        <v>-9.4</v>
      </c>
      <c r="S54" s="0" t="n">
        <v>0.9</v>
      </c>
      <c r="T54" s="0" t="n">
        <f aca="false">VALUE(VLOOKUP(B54,FgeoVlookup,2,FALSE()))</f>
        <v>0.9</v>
      </c>
      <c r="U54" s="0" t="s">
        <v>665</v>
      </c>
    </row>
    <row r="55" customFormat="false" ht="12.75" hidden="false" customHeight="false" outlineLevel="0" collapsed="false">
      <c r="B55" s="318" t="s">
        <v>441</v>
      </c>
      <c r="C55" s="0" t="s">
        <v>441</v>
      </c>
      <c r="D55" s="0" t="n">
        <v>102314</v>
      </c>
      <c r="E55" s="0" t="n">
        <v>57.11</v>
      </c>
      <c r="F55" s="0" t="n">
        <v>12.26</v>
      </c>
      <c r="G55" s="0" t="n">
        <v>-12.7</v>
      </c>
      <c r="H55" s="0" t="n">
        <v>-11.9</v>
      </c>
      <c r="I55" s="0" t="n">
        <v>-11.6</v>
      </c>
      <c r="J55" s="0" t="n">
        <v>-10.9</v>
      </c>
      <c r="K55" s="0" t="n">
        <v>-10.7</v>
      </c>
      <c r="L55" s="0" t="n">
        <v>-10.7</v>
      </c>
      <c r="M55" s="0" t="n">
        <v>-10.7</v>
      </c>
      <c r="N55" s="0" t="n">
        <v>-10.6</v>
      </c>
      <c r="O55" s="0" t="n">
        <v>-10.3</v>
      </c>
      <c r="P55" s="0" t="n">
        <v>-10</v>
      </c>
      <c r="Q55" s="0" t="n">
        <v>-9.8</v>
      </c>
      <c r="R55" s="0" t="n">
        <v>-9.8</v>
      </c>
      <c r="S55" s="0" t="n">
        <v>0.9</v>
      </c>
      <c r="T55" s="0" t="n">
        <f aca="false">VALUE(VLOOKUP(B55,FgeoVlookup,2,FALSE()))</f>
        <v>0.9</v>
      </c>
      <c r="U55" s="0" t="s">
        <v>665</v>
      </c>
    </row>
    <row r="56" customFormat="false" ht="12.75" hidden="false" customHeight="false" outlineLevel="0" collapsed="false">
      <c r="B56" s="318" t="s">
        <v>361</v>
      </c>
      <c r="C56" s="0" t="s">
        <v>361</v>
      </c>
      <c r="D56" s="0" t="n">
        <v>102408</v>
      </c>
      <c r="E56" s="0" t="n">
        <v>58.71</v>
      </c>
      <c r="F56" s="0" t="n">
        <v>15.77</v>
      </c>
      <c r="G56" s="0" t="n">
        <v>-17.1</v>
      </c>
      <c r="H56" s="0" t="n">
        <v>-16.2</v>
      </c>
      <c r="I56" s="0" t="n">
        <v>-15.1</v>
      </c>
      <c r="J56" s="0" t="n">
        <v>-14.7</v>
      </c>
      <c r="K56" s="0" t="n">
        <v>-14.1</v>
      </c>
      <c r="L56" s="0" t="n">
        <v>-13.9</v>
      </c>
      <c r="M56" s="0" t="n">
        <v>-13.7</v>
      </c>
      <c r="N56" s="0" t="n">
        <v>-13.4</v>
      </c>
      <c r="O56" s="0" t="n">
        <v>-13</v>
      </c>
      <c r="P56" s="0" t="n">
        <v>-12.5</v>
      </c>
      <c r="Q56" s="0" t="n">
        <v>-12.1</v>
      </c>
      <c r="R56" s="0" t="n">
        <v>-11.9</v>
      </c>
      <c r="S56" s="0" t="n">
        <v>1</v>
      </c>
      <c r="T56" s="0" t="n">
        <f aca="false">VALUE(VLOOKUP(B56,FgeoVlookup,2,FALSE()))</f>
        <v>1</v>
      </c>
      <c r="U56" s="0" t="s">
        <v>664</v>
      </c>
    </row>
    <row r="57" customFormat="false" ht="12.75" hidden="false" customHeight="false" outlineLevel="0" collapsed="false">
      <c r="B57" s="318" t="s">
        <v>382</v>
      </c>
      <c r="C57" s="0" t="s">
        <v>382</v>
      </c>
      <c r="D57" s="0" t="n">
        <v>102403</v>
      </c>
      <c r="E57" s="0" t="n">
        <v>57.99</v>
      </c>
      <c r="F57" s="0" t="n">
        <v>15.64</v>
      </c>
      <c r="G57" s="0" t="n">
        <v>-16.8</v>
      </c>
      <c r="H57" s="0" t="n">
        <v>-15.9</v>
      </c>
      <c r="I57" s="0" t="n">
        <v>-14.8</v>
      </c>
      <c r="J57" s="0" t="n">
        <v>-14.1</v>
      </c>
      <c r="K57" s="0" t="n">
        <v>-14</v>
      </c>
      <c r="L57" s="0" t="n">
        <v>-13.9</v>
      </c>
      <c r="M57" s="0" t="n">
        <v>-13.7</v>
      </c>
      <c r="N57" s="0" t="n">
        <v>-13.4</v>
      </c>
      <c r="O57" s="0" t="n">
        <v>-13</v>
      </c>
      <c r="P57" s="0" t="n">
        <v>-12.6</v>
      </c>
      <c r="Q57" s="0" t="n">
        <v>-12.2</v>
      </c>
      <c r="R57" s="0" t="n">
        <v>-11.9</v>
      </c>
      <c r="S57" s="0" t="n">
        <v>1</v>
      </c>
      <c r="T57" s="0" t="n">
        <f aca="false">VALUE(VLOOKUP(B57,FgeoVlookup,2,FALSE()))</f>
        <v>1</v>
      </c>
      <c r="U57" s="0" t="s">
        <v>664</v>
      </c>
    </row>
    <row r="58" customFormat="false" ht="12.75" hidden="false" customHeight="false" outlineLevel="0" collapsed="false">
      <c r="B58" s="318" t="s">
        <v>401</v>
      </c>
      <c r="C58" s="0" t="s">
        <v>401</v>
      </c>
      <c r="D58" s="0" t="n">
        <v>102406</v>
      </c>
      <c r="E58" s="0" t="n">
        <v>58.4</v>
      </c>
      <c r="F58" s="0" t="n">
        <v>15.65</v>
      </c>
      <c r="G58" s="0" t="n">
        <v>-16.6</v>
      </c>
      <c r="H58" s="0" t="n">
        <v>-16</v>
      </c>
      <c r="I58" s="0" t="n">
        <v>-14.8</v>
      </c>
      <c r="J58" s="0" t="n">
        <v>-14</v>
      </c>
      <c r="K58" s="0" t="n">
        <v>-13.5</v>
      </c>
      <c r="L58" s="0" t="n">
        <v>-13.4</v>
      </c>
      <c r="M58" s="0" t="n">
        <v>-13.3</v>
      </c>
      <c r="N58" s="0" t="n">
        <v>-13</v>
      </c>
      <c r="O58" s="0" t="n">
        <v>-12.6</v>
      </c>
      <c r="P58" s="0" t="n">
        <v>-12.2</v>
      </c>
      <c r="Q58" s="0" t="n">
        <v>-11.8</v>
      </c>
      <c r="R58" s="0" t="n">
        <v>-11.4</v>
      </c>
      <c r="S58" s="0" t="n">
        <v>1</v>
      </c>
      <c r="T58" s="0" t="n">
        <f aca="false">VALUE(VLOOKUP(B58,FgeoVlookup,2,FALSE()))</f>
        <v>1</v>
      </c>
      <c r="U58" s="0" t="s">
        <v>664</v>
      </c>
    </row>
    <row r="59" customFormat="false" ht="12.75" hidden="false" customHeight="false" outlineLevel="0" collapsed="false">
      <c r="B59" s="318" t="s">
        <v>420</v>
      </c>
      <c r="C59" s="0" t="s">
        <v>420</v>
      </c>
      <c r="D59" s="0" t="n">
        <v>102402</v>
      </c>
      <c r="E59" s="0" t="n">
        <v>58.33</v>
      </c>
      <c r="F59" s="0" t="n">
        <v>15.13</v>
      </c>
      <c r="G59" s="0" t="n">
        <v>-16.3</v>
      </c>
      <c r="H59" s="0" t="n">
        <v>-15.9</v>
      </c>
      <c r="I59" s="0" t="n">
        <v>-14.7</v>
      </c>
      <c r="J59" s="0" t="n">
        <v>-14</v>
      </c>
      <c r="K59" s="0" t="n">
        <v>-13.8</v>
      </c>
      <c r="L59" s="0" t="n">
        <v>-13.5</v>
      </c>
      <c r="M59" s="0" t="n">
        <v>-13.5</v>
      </c>
      <c r="N59" s="0" t="n">
        <v>-13.1</v>
      </c>
      <c r="O59" s="0" t="n">
        <v>-12.9</v>
      </c>
      <c r="P59" s="0" t="n">
        <v>-12.4</v>
      </c>
      <c r="Q59" s="0" t="n">
        <v>-12.1</v>
      </c>
      <c r="R59" s="0" t="n">
        <v>-11.6</v>
      </c>
      <c r="S59" s="0" t="n">
        <v>1</v>
      </c>
      <c r="T59" s="0" t="n">
        <f aca="false">VALUE(VLOOKUP(B59,FgeoVlookup,2,FALSE()))</f>
        <v>1</v>
      </c>
      <c r="U59" s="0" t="s">
        <v>664</v>
      </c>
    </row>
    <row r="60" customFormat="false" ht="12.75" hidden="false" customHeight="false" outlineLevel="0" collapsed="false">
      <c r="B60" s="318" t="s">
        <v>438</v>
      </c>
      <c r="C60" s="0" t="s">
        <v>438</v>
      </c>
      <c r="D60" s="0" t="n">
        <v>102407</v>
      </c>
      <c r="E60" s="0" t="n">
        <v>58.54</v>
      </c>
      <c r="F60" s="0" t="n">
        <v>15.04</v>
      </c>
      <c r="G60" s="0" t="n">
        <v>-16.2</v>
      </c>
      <c r="H60" s="0" t="n">
        <v>-15.8</v>
      </c>
      <c r="I60" s="0" t="n">
        <v>-14.6</v>
      </c>
      <c r="J60" s="0" t="n">
        <v>-14.1</v>
      </c>
      <c r="K60" s="0" t="n">
        <v>-13.9</v>
      </c>
      <c r="L60" s="0" t="n">
        <v>-13.6</v>
      </c>
      <c r="M60" s="0" t="n">
        <v>-13.6</v>
      </c>
      <c r="N60" s="0" t="n">
        <v>-13.2</v>
      </c>
      <c r="O60" s="0" t="n">
        <v>-13</v>
      </c>
      <c r="P60" s="0" t="n">
        <v>-12.5</v>
      </c>
      <c r="Q60" s="0" t="n">
        <v>-12.1</v>
      </c>
      <c r="R60" s="0" t="n">
        <v>-11.7</v>
      </c>
      <c r="S60" s="0" t="n">
        <v>1</v>
      </c>
      <c r="T60" s="0" t="n">
        <f aca="false">VALUE(VLOOKUP(B60,FgeoVlookup,2,FALSE()))</f>
        <v>1</v>
      </c>
      <c r="U60" s="0" t="s">
        <v>664</v>
      </c>
    </row>
    <row r="61" customFormat="false" ht="12.75" hidden="false" customHeight="false" outlineLevel="0" collapsed="false">
      <c r="B61" s="318" t="s">
        <v>457</v>
      </c>
      <c r="C61" s="0" t="s">
        <v>457</v>
      </c>
      <c r="D61" s="0" t="n">
        <v>102420</v>
      </c>
      <c r="E61" s="0" t="n">
        <v>58.07</v>
      </c>
      <c r="F61" s="0" t="n">
        <v>15.24</v>
      </c>
      <c r="G61" s="0" t="n">
        <v>-16.6</v>
      </c>
      <c r="H61" s="0" t="n">
        <v>-16.1</v>
      </c>
      <c r="I61" s="0" t="n">
        <v>-15</v>
      </c>
      <c r="J61" s="0" t="n">
        <v>-14.3</v>
      </c>
      <c r="K61" s="0" t="n">
        <v>-14.1</v>
      </c>
      <c r="L61" s="0" t="n">
        <v>-13.7</v>
      </c>
      <c r="M61" s="0" t="n">
        <v>-13.7</v>
      </c>
      <c r="N61" s="0" t="n">
        <v>-13.7</v>
      </c>
      <c r="O61" s="0" t="n">
        <v>-13.1</v>
      </c>
      <c r="P61" s="0" t="n">
        <v>-12.8</v>
      </c>
      <c r="Q61" s="0" t="n">
        <v>-12.2</v>
      </c>
      <c r="R61" s="0" t="n">
        <v>-12.1</v>
      </c>
      <c r="S61" s="0" t="n">
        <v>1</v>
      </c>
      <c r="T61" s="0" t="n">
        <f aca="false">VALUE(VLOOKUP(B61,FgeoVlookup,2,FALSE()))</f>
        <v>1</v>
      </c>
      <c r="U61" s="0" t="s">
        <v>664</v>
      </c>
    </row>
    <row r="62" customFormat="false" ht="12.75" hidden="false" customHeight="false" outlineLevel="0" collapsed="false">
      <c r="B62" s="318" t="s">
        <v>492</v>
      </c>
      <c r="C62" s="0" t="s">
        <v>492</v>
      </c>
      <c r="D62" s="0" t="n">
        <v>102421</v>
      </c>
      <c r="E62" s="0" t="n">
        <v>58.47</v>
      </c>
      <c r="F62" s="0" t="n">
        <v>16.34</v>
      </c>
      <c r="G62" s="0" t="n">
        <v>-15.5</v>
      </c>
      <c r="H62" s="0" t="n">
        <v>-15</v>
      </c>
      <c r="I62" s="0" t="n">
        <v>-13.7</v>
      </c>
      <c r="J62" s="0" t="n">
        <v>-13.4</v>
      </c>
      <c r="K62" s="0" t="n">
        <v>-13.1</v>
      </c>
      <c r="L62" s="0" t="n">
        <v>-12.7</v>
      </c>
      <c r="M62" s="0" t="n">
        <v>-12.5</v>
      </c>
      <c r="N62" s="0" t="n">
        <v>-12.5</v>
      </c>
      <c r="O62" s="0" t="n">
        <v>-11.8</v>
      </c>
      <c r="P62" s="0" t="n">
        <v>-11.5</v>
      </c>
      <c r="Q62" s="0" t="n">
        <v>-11.2</v>
      </c>
      <c r="R62" s="0" t="n">
        <v>-10.9</v>
      </c>
      <c r="S62" s="0" t="n">
        <v>1</v>
      </c>
      <c r="T62" s="0" t="n">
        <f aca="false">VALUE(VLOOKUP(B62,FgeoVlookup,2,FALSE()))</f>
        <v>1</v>
      </c>
      <c r="U62" s="0" t="s">
        <v>664</v>
      </c>
    </row>
    <row r="63" customFormat="false" ht="12.75" hidden="false" customHeight="false" outlineLevel="0" collapsed="false">
      <c r="B63" s="318" t="s">
        <v>505</v>
      </c>
      <c r="C63" s="0" t="s">
        <v>505</v>
      </c>
      <c r="D63" s="0" t="n">
        <v>102418</v>
      </c>
      <c r="E63" s="0" t="n">
        <v>58.45</v>
      </c>
      <c r="F63" s="0" t="n">
        <v>14.9</v>
      </c>
      <c r="G63" s="0" t="n">
        <v>-16.1</v>
      </c>
      <c r="H63" s="0" t="n">
        <v>-15.3</v>
      </c>
      <c r="I63" s="0" t="n">
        <v>-14.2</v>
      </c>
      <c r="J63" s="0" t="n">
        <v>-13.8</v>
      </c>
      <c r="K63" s="0" t="n">
        <v>-13.6</v>
      </c>
      <c r="L63" s="0" t="n">
        <v>-13.3</v>
      </c>
      <c r="M63" s="0" t="n">
        <v>-13.3</v>
      </c>
      <c r="N63" s="0" t="n">
        <v>-13</v>
      </c>
      <c r="O63" s="0" t="n">
        <v>-12.7</v>
      </c>
      <c r="P63" s="0" t="n">
        <v>-12.2</v>
      </c>
      <c r="Q63" s="0" t="n">
        <v>-11.8</v>
      </c>
      <c r="R63" s="0" t="n">
        <v>-11.4</v>
      </c>
      <c r="S63" s="0" t="n">
        <v>1</v>
      </c>
      <c r="T63" s="0" t="n">
        <f aca="false">VALUE(VLOOKUP(B63,FgeoVlookup,2,FALSE()))</f>
        <v>1</v>
      </c>
      <c r="U63" s="0" t="s">
        <v>664</v>
      </c>
    </row>
    <row r="64" customFormat="false" ht="12.75" hidden="false" customHeight="false" outlineLevel="0" collapsed="false">
      <c r="B64" s="318" t="s">
        <v>518</v>
      </c>
      <c r="C64" s="0" t="s">
        <v>518</v>
      </c>
      <c r="D64" s="0" t="n">
        <v>102405</v>
      </c>
      <c r="E64" s="0" t="n">
        <v>58.21</v>
      </c>
      <c r="F64" s="0" t="n">
        <v>16.6</v>
      </c>
      <c r="G64" s="0" t="n">
        <v>-14.3</v>
      </c>
      <c r="H64" s="0" t="n">
        <v>-13.4</v>
      </c>
      <c r="I64" s="0" t="n">
        <v>-12.9</v>
      </c>
      <c r="J64" s="0" t="n">
        <v>-12.4</v>
      </c>
      <c r="K64" s="0" t="n">
        <v>-12.2</v>
      </c>
      <c r="L64" s="0" t="n">
        <v>-12</v>
      </c>
      <c r="M64" s="0" t="n">
        <v>-11.8</v>
      </c>
      <c r="N64" s="0" t="n">
        <v>-11.7</v>
      </c>
      <c r="O64" s="0" t="n">
        <v>-11</v>
      </c>
      <c r="P64" s="0" t="n">
        <v>-10.8</v>
      </c>
      <c r="Q64" s="0" t="n">
        <v>-10.6</v>
      </c>
      <c r="R64" s="0" t="n">
        <v>-10.2</v>
      </c>
      <c r="S64" s="0" t="n">
        <v>1</v>
      </c>
      <c r="T64" s="0" t="n">
        <f aca="false">VALUE(VLOOKUP(B64,FgeoVlookup,2,FALSE()))</f>
        <v>1</v>
      </c>
      <c r="U64" s="0" t="s">
        <v>664</v>
      </c>
    </row>
    <row r="65" customFormat="false" ht="12.75" hidden="false" customHeight="false" outlineLevel="0" collapsed="false">
      <c r="B65" s="318" t="s">
        <v>529</v>
      </c>
      <c r="C65" s="0" t="s">
        <v>529</v>
      </c>
      <c r="D65" s="0" t="n">
        <v>102422</v>
      </c>
      <c r="E65" s="0" t="n">
        <v>57.83</v>
      </c>
      <c r="F65" s="0" t="n">
        <v>15.27</v>
      </c>
      <c r="G65" s="0" t="n">
        <v>-16.3</v>
      </c>
      <c r="H65" s="0" t="n">
        <v>-15.8</v>
      </c>
      <c r="I65" s="0" t="n">
        <v>-14.7</v>
      </c>
      <c r="J65" s="0" t="n">
        <v>-14</v>
      </c>
      <c r="K65" s="0" t="n">
        <v>-13.8</v>
      </c>
      <c r="L65" s="0" t="n">
        <v>-13.8</v>
      </c>
      <c r="M65" s="0" t="n">
        <v>-13.6</v>
      </c>
      <c r="N65" s="0" t="n">
        <v>-13.4</v>
      </c>
      <c r="O65" s="0" t="n">
        <v>-12.9</v>
      </c>
      <c r="P65" s="0" t="n">
        <v>-12.5</v>
      </c>
      <c r="Q65" s="0" t="n">
        <v>-12.1</v>
      </c>
      <c r="R65" s="0" t="n">
        <v>-11.9</v>
      </c>
      <c r="S65" s="0" t="n">
        <v>1</v>
      </c>
      <c r="T65" s="0" t="n">
        <f aca="false">VALUE(VLOOKUP(B65,FgeoVlookup,2,FALSE()))</f>
        <v>1</v>
      </c>
      <c r="U65" s="0" t="s">
        <v>664</v>
      </c>
    </row>
    <row r="66" customFormat="false" ht="12.75" hidden="false" customHeight="false" outlineLevel="0" collapsed="false">
      <c r="B66" s="318" t="s">
        <v>540</v>
      </c>
      <c r="C66" s="0" t="s">
        <v>540</v>
      </c>
      <c r="D66" s="0" t="n">
        <v>102404</v>
      </c>
      <c r="E66" s="0" t="n">
        <v>58.2</v>
      </c>
      <c r="F66" s="0" t="n">
        <v>16</v>
      </c>
      <c r="G66" s="0" t="n">
        <v>-16.4</v>
      </c>
      <c r="H66" s="0" t="n">
        <v>-15.7</v>
      </c>
      <c r="I66" s="0" t="n">
        <v>-14.6</v>
      </c>
      <c r="J66" s="0" t="n">
        <v>-13.9</v>
      </c>
      <c r="K66" s="0" t="n">
        <v>-13.7</v>
      </c>
      <c r="L66" s="0" t="n">
        <v>-13.5</v>
      </c>
      <c r="M66" s="0" t="n">
        <v>-13.3</v>
      </c>
      <c r="N66" s="0" t="n">
        <v>-13.1</v>
      </c>
      <c r="O66" s="0" t="n">
        <v>-12.5</v>
      </c>
      <c r="P66" s="0" t="n">
        <v>-12.2</v>
      </c>
      <c r="Q66" s="0" t="n">
        <v>-11.8</v>
      </c>
      <c r="R66" s="0" t="n">
        <v>-11.4</v>
      </c>
      <c r="S66" s="0" t="n">
        <v>1</v>
      </c>
      <c r="T66" s="0" t="n">
        <f aca="false">VALUE(VLOOKUP(B66,FgeoVlookup,2,FALSE()))</f>
        <v>1</v>
      </c>
      <c r="U66" s="0" t="s">
        <v>664</v>
      </c>
    </row>
    <row r="67" customFormat="false" ht="12.75" hidden="false" customHeight="false" outlineLevel="0" collapsed="false">
      <c r="B67" s="318" t="s">
        <v>549</v>
      </c>
      <c r="C67" s="0" t="s">
        <v>549</v>
      </c>
      <c r="D67" s="0" t="n">
        <v>102401</v>
      </c>
      <c r="E67" s="0" t="n">
        <v>58.23</v>
      </c>
      <c r="F67" s="0" t="n">
        <v>14.66</v>
      </c>
      <c r="G67" s="0" t="n">
        <v>-15.3</v>
      </c>
      <c r="H67" s="0" t="n">
        <v>-14.9</v>
      </c>
      <c r="I67" s="0" t="n">
        <v>-14</v>
      </c>
      <c r="J67" s="0" t="n">
        <v>-13.3</v>
      </c>
      <c r="K67" s="0" t="n">
        <v>-13.2</v>
      </c>
      <c r="L67" s="0" t="n">
        <v>-12.7</v>
      </c>
      <c r="M67" s="0" t="n">
        <v>-12.7</v>
      </c>
      <c r="N67" s="0" t="n">
        <v>-12.7</v>
      </c>
      <c r="O67" s="0" t="n">
        <v>-12.2</v>
      </c>
      <c r="P67" s="0" t="n">
        <v>-11.8</v>
      </c>
      <c r="Q67" s="0" t="n">
        <v>-11.4</v>
      </c>
      <c r="R67" s="0" t="n">
        <v>-11.1</v>
      </c>
      <c r="S67" s="0" t="n">
        <v>1</v>
      </c>
      <c r="T67" s="0" t="n">
        <f aca="false">VALUE(VLOOKUP(B67,FgeoVlookup,2,FALSE()))</f>
        <v>1</v>
      </c>
      <c r="U67" s="0" t="s">
        <v>664</v>
      </c>
    </row>
    <row r="68" customFormat="false" ht="12.75" hidden="false" customHeight="false" outlineLevel="0" collapsed="false">
      <c r="B68" s="318" t="s">
        <v>343</v>
      </c>
      <c r="C68" s="0" t="s">
        <v>343</v>
      </c>
      <c r="D68" s="0" t="n">
        <v>102331</v>
      </c>
      <c r="E68" s="0" t="n">
        <v>57.24</v>
      </c>
      <c r="F68" s="0" t="n">
        <v>18.28</v>
      </c>
      <c r="G68" s="0" t="n">
        <v>-9.5</v>
      </c>
      <c r="H68" s="0" t="n">
        <v>-8.7</v>
      </c>
      <c r="I68" s="0" t="n">
        <v>-8.7</v>
      </c>
      <c r="J68" s="0" t="n">
        <v>-8.3</v>
      </c>
      <c r="K68" s="0" t="n">
        <v>-8.3</v>
      </c>
      <c r="L68" s="0" t="n">
        <v>-8.2</v>
      </c>
      <c r="M68" s="0" t="n">
        <v>-8</v>
      </c>
      <c r="N68" s="0" t="n">
        <v>-8</v>
      </c>
      <c r="O68" s="0" t="n">
        <v>-8</v>
      </c>
      <c r="P68" s="0" t="n">
        <v>-7.9</v>
      </c>
      <c r="Q68" s="0" t="n">
        <v>-7.9</v>
      </c>
      <c r="R68" s="0" t="n">
        <v>-7.8</v>
      </c>
      <c r="S68" s="0" t="n">
        <v>0.9</v>
      </c>
      <c r="T68" s="0" t="n">
        <f aca="false">VALUE(VLOOKUP(B68,FgeoVlookup,2,FALSE()))</f>
        <v>0.9</v>
      </c>
      <c r="U68" s="0" t="s">
        <v>666</v>
      </c>
    </row>
    <row r="69" customFormat="false" ht="12.75" hidden="false" customHeight="false" outlineLevel="0" collapsed="false">
      <c r="B69" s="318" t="s">
        <v>364</v>
      </c>
      <c r="C69" s="0" t="s">
        <v>364</v>
      </c>
      <c r="D69" s="0" t="n">
        <v>102330</v>
      </c>
      <c r="E69" s="0" t="n">
        <v>57.63</v>
      </c>
      <c r="F69" s="0" t="n">
        <v>18.31</v>
      </c>
      <c r="G69" s="0" t="n">
        <v>-9.4</v>
      </c>
      <c r="H69" s="0" t="n">
        <v>-8.8</v>
      </c>
      <c r="I69" s="0" t="n">
        <v>-8.5</v>
      </c>
      <c r="J69" s="0" t="n">
        <v>-8.2</v>
      </c>
      <c r="K69" s="0" t="n">
        <v>-8.2</v>
      </c>
      <c r="L69" s="0" t="n">
        <v>-8.2</v>
      </c>
      <c r="M69" s="0" t="n">
        <v>-8.2</v>
      </c>
      <c r="N69" s="0" t="n">
        <v>-8</v>
      </c>
      <c r="O69" s="0" t="n">
        <v>-8</v>
      </c>
      <c r="P69" s="0" t="n">
        <v>-8</v>
      </c>
      <c r="Q69" s="0" t="n">
        <v>-8</v>
      </c>
      <c r="R69" s="0" t="n">
        <v>-8</v>
      </c>
      <c r="S69" s="0" t="n">
        <v>0.9</v>
      </c>
      <c r="T69" s="0" t="n">
        <f aca="false">VALUE(VLOOKUP(B69,FgeoVlookup,2,FALSE()))</f>
        <v>0.9</v>
      </c>
      <c r="U69" s="0" t="s">
        <v>666</v>
      </c>
    </row>
    <row r="70" customFormat="false" ht="12.75" hidden="false" customHeight="false" outlineLevel="0" collapsed="false">
      <c r="B70" s="318" t="s">
        <v>341</v>
      </c>
      <c r="C70" s="0" t="s">
        <v>341</v>
      </c>
      <c r="D70" s="0" t="n">
        <v>102118</v>
      </c>
      <c r="E70" s="0" t="n">
        <v>56.19</v>
      </c>
      <c r="F70" s="0" t="n">
        <v>14.85</v>
      </c>
      <c r="G70" s="0" t="n">
        <v>-11.5</v>
      </c>
      <c r="H70" s="0" t="n">
        <v>-10.7</v>
      </c>
      <c r="I70" s="0" t="n">
        <v>-10.5</v>
      </c>
      <c r="J70" s="0" t="n">
        <v>-10.1</v>
      </c>
      <c r="K70" s="0" t="n">
        <v>-10.1</v>
      </c>
      <c r="L70" s="0" t="n">
        <v>-9.7</v>
      </c>
      <c r="M70" s="0" t="n">
        <v>-9.5</v>
      </c>
      <c r="N70" s="0" t="n">
        <v>-9.2</v>
      </c>
      <c r="O70" s="0" t="n">
        <v>-8.9</v>
      </c>
      <c r="P70" s="0" t="n">
        <v>-8.8</v>
      </c>
      <c r="Q70" s="0" t="n">
        <v>-8.5</v>
      </c>
      <c r="R70" s="0" t="n">
        <v>-8.3</v>
      </c>
      <c r="S70" s="0" t="n">
        <v>0.9</v>
      </c>
      <c r="T70" s="0" t="n">
        <f aca="false">VALUE(VLOOKUP(B70,FgeoVlookup,2,FALSE()))</f>
        <v>0.9</v>
      </c>
      <c r="U70" s="0" t="s">
        <v>667</v>
      </c>
    </row>
    <row r="71" customFormat="false" ht="12.75" hidden="false" customHeight="false" outlineLevel="0" collapsed="false">
      <c r="B71" s="318" t="s">
        <v>362</v>
      </c>
      <c r="C71" s="0" t="s">
        <v>362</v>
      </c>
      <c r="D71" s="0" t="n">
        <v>102120</v>
      </c>
      <c r="E71" s="0" t="n">
        <v>56.18</v>
      </c>
      <c r="F71" s="0" t="n">
        <v>15.62</v>
      </c>
      <c r="G71" s="0" t="n">
        <v>-10.9</v>
      </c>
      <c r="H71" s="0" t="n">
        <v>-10.3</v>
      </c>
      <c r="I71" s="0" t="n">
        <v>-10.1</v>
      </c>
      <c r="J71" s="0" t="n">
        <v>-9.9</v>
      </c>
      <c r="K71" s="0" t="n">
        <v>-9.5</v>
      </c>
      <c r="L71" s="0" t="n">
        <v>-9.4</v>
      </c>
      <c r="M71" s="0" t="n">
        <v>-9.2</v>
      </c>
      <c r="N71" s="0" t="n">
        <v>-9</v>
      </c>
      <c r="O71" s="0" t="n">
        <v>-8.7</v>
      </c>
      <c r="P71" s="0" t="n">
        <v>-8.5</v>
      </c>
      <c r="Q71" s="0" t="n">
        <v>-8.3</v>
      </c>
      <c r="R71" s="0" t="n">
        <v>-8</v>
      </c>
      <c r="S71" s="0" t="n">
        <v>0.9</v>
      </c>
      <c r="T71" s="0" t="n">
        <f aca="false">VALUE(VLOOKUP(B71,FgeoVlookup,2,FALSE()))</f>
        <v>0.9</v>
      </c>
      <c r="U71" s="0" t="s">
        <v>667</v>
      </c>
    </row>
    <row r="72" customFormat="false" ht="12.75" hidden="false" customHeight="false" outlineLevel="0" collapsed="false">
      <c r="B72" s="318" t="s">
        <v>383</v>
      </c>
      <c r="C72" s="0" t="s">
        <v>383</v>
      </c>
      <c r="D72" s="0" t="n">
        <v>102116</v>
      </c>
      <c r="E72" s="0" t="n">
        <v>56.28</v>
      </c>
      <c r="F72" s="0" t="n">
        <v>14.52</v>
      </c>
      <c r="G72" s="0" t="n">
        <v>-12.9</v>
      </c>
      <c r="H72" s="0" t="n">
        <v>-11.7</v>
      </c>
      <c r="I72" s="0" t="n">
        <v>-11.6</v>
      </c>
      <c r="J72" s="0" t="n">
        <v>-11.3</v>
      </c>
      <c r="K72" s="0" t="n">
        <v>-11.1</v>
      </c>
      <c r="L72" s="0" t="n">
        <v>-11</v>
      </c>
      <c r="M72" s="0" t="n">
        <v>-10.7</v>
      </c>
      <c r="N72" s="0" t="n">
        <v>-10.5</v>
      </c>
      <c r="O72" s="0" t="n">
        <v>-10</v>
      </c>
      <c r="P72" s="0" t="n">
        <v>-9.8</v>
      </c>
      <c r="Q72" s="0" t="n">
        <v>-9.6</v>
      </c>
      <c r="R72" s="0" t="n">
        <v>-9.5</v>
      </c>
      <c r="S72" s="0" t="n">
        <v>0.9</v>
      </c>
      <c r="T72" s="0" t="n">
        <f aca="false">VALUE(VLOOKUP(B72,FgeoVlookup,2,FALSE()))</f>
        <v>0.9</v>
      </c>
      <c r="U72" s="0" t="s">
        <v>667</v>
      </c>
    </row>
    <row r="73" customFormat="false" ht="12.75" hidden="false" customHeight="false" outlineLevel="0" collapsed="false">
      <c r="B73" s="318" t="s">
        <v>402</v>
      </c>
      <c r="C73" s="0" t="s">
        <v>402</v>
      </c>
      <c r="D73" s="0" t="n">
        <v>102119</v>
      </c>
      <c r="E73" s="0" t="n">
        <v>56.21</v>
      </c>
      <c r="F73" s="0" t="n">
        <v>15.28</v>
      </c>
      <c r="G73" s="0" t="n">
        <v>-11.7</v>
      </c>
      <c r="H73" s="0" t="n">
        <v>-11.1</v>
      </c>
      <c r="I73" s="0" t="n">
        <v>-10.8</v>
      </c>
      <c r="J73" s="0" t="n">
        <v>-10.4</v>
      </c>
      <c r="K73" s="0" t="n">
        <v>-10.3</v>
      </c>
      <c r="L73" s="0" t="n">
        <v>-10</v>
      </c>
      <c r="M73" s="0" t="n">
        <v>-9.9</v>
      </c>
      <c r="N73" s="0" t="n">
        <v>-9.6</v>
      </c>
      <c r="O73" s="0" t="n">
        <v>-9.3</v>
      </c>
      <c r="P73" s="0" t="n">
        <v>-9</v>
      </c>
      <c r="Q73" s="0" t="n">
        <v>-8.7</v>
      </c>
      <c r="R73" s="0" t="n">
        <v>-8.5</v>
      </c>
      <c r="S73" s="0" t="n">
        <v>0.9</v>
      </c>
      <c r="T73" s="0" t="n">
        <f aca="false">VALUE(VLOOKUP(B73,FgeoVlookup,2,FALSE()))</f>
        <v>0.9</v>
      </c>
      <c r="U73" s="0" t="s">
        <v>667</v>
      </c>
    </row>
    <row r="74" customFormat="false" ht="12.75" hidden="false" customHeight="false" outlineLevel="0" collapsed="false">
      <c r="B74" s="318" t="s">
        <v>421</v>
      </c>
      <c r="C74" s="0" t="s">
        <v>421</v>
      </c>
      <c r="D74" s="0" t="n">
        <v>102115</v>
      </c>
      <c r="E74" s="0" t="n">
        <v>56.05</v>
      </c>
      <c r="F74" s="0" t="n">
        <v>14.6</v>
      </c>
      <c r="G74" s="0" t="n">
        <v>-11.6</v>
      </c>
      <c r="H74" s="0" t="n">
        <v>-10.8</v>
      </c>
      <c r="I74" s="0" t="n">
        <v>-10.5</v>
      </c>
      <c r="J74" s="0" t="n">
        <v>-10</v>
      </c>
      <c r="K74" s="0" t="n">
        <v>-10</v>
      </c>
      <c r="L74" s="0" t="n">
        <v>-9.8</v>
      </c>
      <c r="M74" s="0" t="n">
        <v>-9.6</v>
      </c>
      <c r="N74" s="0" t="n">
        <v>-9.3</v>
      </c>
      <c r="O74" s="0" t="n">
        <v>-9.1</v>
      </c>
      <c r="P74" s="0" t="n">
        <v>-8.9</v>
      </c>
      <c r="Q74" s="0" t="n">
        <v>-8.6</v>
      </c>
      <c r="R74" s="0" t="n">
        <v>-8.4</v>
      </c>
      <c r="S74" s="0" t="n">
        <v>0.9</v>
      </c>
      <c r="T74" s="0" t="n">
        <f aca="false">VALUE(VLOOKUP(B74,FgeoVlookup,2,FALSE()))</f>
        <v>0.9</v>
      </c>
      <c r="U74" s="0" t="s">
        <v>667</v>
      </c>
    </row>
    <row r="75" customFormat="false" ht="12.75" hidden="false" customHeight="false" outlineLevel="0" collapsed="false">
      <c r="A75" s="111"/>
      <c r="B75" s="0" t="s">
        <v>567</v>
      </c>
      <c r="C75" s="0" t="s">
        <v>567</v>
      </c>
      <c r="D75" s="0" t="n">
        <v>102252</v>
      </c>
      <c r="E75" s="0" t="n">
        <v>57.92</v>
      </c>
      <c r="F75" s="0" t="n">
        <v>12.06</v>
      </c>
      <c r="G75" s="0" t="n">
        <v>-13.8</v>
      </c>
      <c r="H75" s="0" t="n">
        <v>-13.3</v>
      </c>
      <c r="I75" s="0" t="n">
        <v>-12.7</v>
      </c>
      <c r="J75" s="0" t="n">
        <v>-12.1</v>
      </c>
      <c r="K75" s="0" t="n">
        <v>-12.1</v>
      </c>
      <c r="L75" s="0" t="n">
        <v>-12.1</v>
      </c>
      <c r="M75" s="0" t="n">
        <v>-11.9</v>
      </c>
      <c r="N75" s="0" t="n">
        <v>-11.7</v>
      </c>
      <c r="O75" s="0" t="n">
        <v>-11.7</v>
      </c>
      <c r="P75" s="0" t="n">
        <v>-11.3</v>
      </c>
      <c r="Q75" s="0" t="n">
        <v>-11</v>
      </c>
      <c r="R75" s="0" t="n">
        <v>-10.8</v>
      </c>
      <c r="S75" s="0" t="n">
        <v>1</v>
      </c>
      <c r="T75" s="0" t="n">
        <f aca="false">VALUE(VLOOKUP(B75,FgeoVlookup,2,FALSE()))</f>
        <v>1</v>
      </c>
      <c r="U75" s="111" t="s">
        <v>567</v>
      </c>
    </row>
    <row r="76" customFormat="false" ht="12.75" hidden="false" customHeight="false" outlineLevel="0" collapsed="false">
      <c r="A76" s="111"/>
      <c r="B76" s="0" t="s">
        <v>569</v>
      </c>
      <c r="C76" s="0" t="s">
        <v>569</v>
      </c>
      <c r="D76" s="0" t="n">
        <v>102204</v>
      </c>
      <c r="E76" s="0" t="n">
        <v>57.93</v>
      </c>
      <c r="F76" s="0" t="n">
        <v>12.54</v>
      </c>
      <c r="G76" s="0" t="n">
        <v>-15.4</v>
      </c>
      <c r="H76" s="0" t="n">
        <v>-14.4</v>
      </c>
      <c r="I76" s="0" t="n">
        <v>-13.6</v>
      </c>
      <c r="J76" s="0" t="n">
        <v>-13.4</v>
      </c>
      <c r="K76" s="0" t="n">
        <v>-13.3</v>
      </c>
      <c r="L76" s="0" t="n">
        <v>-12.9</v>
      </c>
      <c r="M76" s="0" t="n">
        <v>-12.9</v>
      </c>
      <c r="N76" s="0" t="n">
        <v>-12.8</v>
      </c>
      <c r="O76" s="0" t="n">
        <v>-12.5</v>
      </c>
      <c r="P76" s="0" t="n">
        <v>-12</v>
      </c>
      <c r="Q76" s="0" t="n">
        <v>-11.8</v>
      </c>
      <c r="R76" s="0" t="n">
        <v>-11.3</v>
      </c>
      <c r="S76" s="0" t="n">
        <v>1</v>
      </c>
      <c r="T76" s="0" t="n">
        <f aca="false">VALUE(VLOOKUP(B76,FgeoVlookup,2,FALSE()))</f>
        <v>1</v>
      </c>
      <c r="U76" s="111" t="s">
        <v>569</v>
      </c>
    </row>
    <row r="77" customFormat="false" ht="12.75" hidden="false" customHeight="false" outlineLevel="0" collapsed="false">
      <c r="A77" s="111"/>
      <c r="B77" s="0" t="s">
        <v>347</v>
      </c>
      <c r="C77" s="0" t="s">
        <v>347</v>
      </c>
      <c r="D77" s="0" t="n">
        <v>102343</v>
      </c>
      <c r="E77" s="0" t="n">
        <v>57.84</v>
      </c>
      <c r="F77" s="0" t="n">
        <v>14.82</v>
      </c>
      <c r="G77" s="0" t="n">
        <v>-16</v>
      </c>
      <c r="H77" s="0" t="n">
        <v>-15.6</v>
      </c>
      <c r="I77" s="0" t="n">
        <v>-14.9</v>
      </c>
      <c r="J77" s="0" t="n">
        <v>-13.7</v>
      </c>
      <c r="K77" s="0" t="n">
        <v>-13.7</v>
      </c>
      <c r="L77" s="0" t="n">
        <v>-13.5</v>
      </c>
      <c r="M77" s="0" t="n">
        <v>-13.4</v>
      </c>
      <c r="N77" s="0" t="n">
        <v>-13.2</v>
      </c>
      <c r="O77" s="0" t="n">
        <v>-12.9</v>
      </c>
      <c r="P77" s="0" t="n">
        <v>-12.3</v>
      </c>
      <c r="Q77" s="0" t="n">
        <v>-11.9</v>
      </c>
      <c r="R77" s="0" t="n">
        <v>-11.7</v>
      </c>
      <c r="S77" s="0" t="n">
        <v>1</v>
      </c>
      <c r="T77" s="0" t="n">
        <f aca="false">VALUE(VLOOKUP(B77,FgeoVlookup,2,FALSE()))</f>
        <v>1</v>
      </c>
      <c r="U77" s="111" t="s">
        <v>347</v>
      </c>
    </row>
    <row r="78" customFormat="false" ht="12.75" hidden="false" customHeight="false" outlineLevel="0" collapsed="false">
      <c r="A78" s="111"/>
      <c r="B78" s="0" t="s">
        <v>358</v>
      </c>
      <c r="C78" s="0" t="s">
        <v>358</v>
      </c>
      <c r="D78" s="0" t="n">
        <v>102601</v>
      </c>
      <c r="E78" s="0" t="n">
        <v>59.39</v>
      </c>
      <c r="F78" s="0" t="n">
        <v>15.85</v>
      </c>
      <c r="G78" s="0" t="n">
        <v>-18.7</v>
      </c>
      <c r="H78" s="0" t="n">
        <v>-17.8</v>
      </c>
      <c r="I78" s="0" t="n">
        <v>-17</v>
      </c>
      <c r="J78" s="0" t="n">
        <v>-16.5</v>
      </c>
      <c r="K78" s="0" t="n">
        <v>-15.9</v>
      </c>
      <c r="L78" s="0" t="n">
        <v>-15.7</v>
      </c>
      <c r="M78" s="0" t="n">
        <v>-15.4</v>
      </c>
      <c r="N78" s="0" t="n">
        <v>-15.1</v>
      </c>
      <c r="O78" s="0" t="n">
        <v>-14.8</v>
      </c>
      <c r="P78" s="0" t="n">
        <v>-14.4</v>
      </c>
      <c r="Q78" s="0" t="n">
        <v>-14.1</v>
      </c>
      <c r="R78" s="0" t="n">
        <v>-13.9</v>
      </c>
      <c r="S78" s="0" t="n">
        <v>1</v>
      </c>
      <c r="T78" s="0" t="n">
        <f aca="false">VALUE(VLOOKUP(B78,FgeoVlookup,2,FALSE()))</f>
        <v>1</v>
      </c>
      <c r="U78" s="111" t="s">
        <v>358</v>
      </c>
    </row>
    <row r="79" customFormat="false" ht="12.75" hidden="false" customHeight="false" outlineLevel="0" collapsed="false">
      <c r="B79" s="0" t="s">
        <v>510</v>
      </c>
      <c r="C79" s="0" t="s">
        <v>510</v>
      </c>
      <c r="D79" s="0" t="n">
        <v>102001</v>
      </c>
      <c r="E79" s="0" t="n">
        <v>66.05</v>
      </c>
      <c r="F79" s="0" t="n">
        <v>17.88</v>
      </c>
      <c r="G79" s="0" t="n">
        <v>-31.9</v>
      </c>
      <c r="H79" s="0" t="n">
        <v>-31.2</v>
      </c>
      <c r="I79" s="0" t="n">
        <v>-29.5</v>
      </c>
      <c r="J79" s="0" t="n">
        <v>-28.6</v>
      </c>
      <c r="K79" s="0" t="n">
        <v>-27.6</v>
      </c>
      <c r="L79" s="0" t="n">
        <v>-27</v>
      </c>
      <c r="M79" s="0" t="n">
        <v>-26.7</v>
      </c>
      <c r="N79" s="0" t="n">
        <v>-26.4</v>
      </c>
      <c r="O79" s="0" t="n">
        <v>-26.1</v>
      </c>
      <c r="P79" s="0" t="n">
        <v>-26</v>
      </c>
      <c r="Q79" s="0" t="n">
        <v>-25.8</v>
      </c>
      <c r="R79" s="0" t="n">
        <v>-25.7</v>
      </c>
      <c r="S79" s="0" t="n">
        <v>1.7</v>
      </c>
      <c r="T79" s="0" t="n">
        <f aca="false">VALUE(VLOOKUP(B79,FgeoVlookup,2,FALSE()))</f>
        <v>1.7</v>
      </c>
      <c r="U79" s="111" t="s">
        <v>510</v>
      </c>
    </row>
    <row r="80" customFormat="false" ht="12.75" hidden="false" customHeight="false" outlineLevel="0" collapsed="false">
      <c r="B80" s="0" t="s">
        <v>465</v>
      </c>
      <c r="C80" s="0" t="s">
        <v>465</v>
      </c>
      <c r="D80" s="0" t="n">
        <v>102002</v>
      </c>
      <c r="E80" s="0" t="n">
        <v>65.59</v>
      </c>
      <c r="F80" s="0" t="n">
        <v>19.17</v>
      </c>
      <c r="G80" s="0" t="n">
        <v>-29.6</v>
      </c>
      <c r="H80" s="0" t="n">
        <v>-28.1</v>
      </c>
      <c r="I80" s="0" t="n">
        <v>-27.4</v>
      </c>
      <c r="J80" s="0" t="n">
        <v>-26.7</v>
      </c>
      <c r="K80" s="0" t="n">
        <v>-25.9</v>
      </c>
      <c r="L80" s="0" t="n">
        <v>-25.2</v>
      </c>
      <c r="M80" s="0" t="n">
        <v>-24.7</v>
      </c>
      <c r="N80" s="0" t="n">
        <v>-24.2</v>
      </c>
      <c r="O80" s="0" t="n">
        <v>-23.9</v>
      </c>
      <c r="P80" s="0" t="n">
        <v>-23.6</v>
      </c>
      <c r="Q80" s="0" t="n">
        <v>-23.6</v>
      </c>
      <c r="R80" s="0" t="n">
        <v>-23.5</v>
      </c>
      <c r="S80" s="0" t="n">
        <v>1.6</v>
      </c>
      <c r="T80" s="0" t="n">
        <f aca="false">VALUE(VLOOKUP(B80,FgeoVlookup,2,FALSE()))</f>
        <v>1.6</v>
      </c>
      <c r="U80" s="111" t="s">
        <v>465</v>
      </c>
    </row>
    <row r="81" customFormat="false" ht="12.75" hidden="false" customHeight="false" outlineLevel="0" collapsed="false">
      <c r="B81" s="0" t="s">
        <v>395</v>
      </c>
      <c r="C81" s="0" t="s">
        <v>395</v>
      </c>
      <c r="D81" s="0" t="n">
        <v>102503</v>
      </c>
      <c r="E81" s="0" t="n">
        <v>59.65</v>
      </c>
      <c r="F81" s="0" t="n">
        <v>12.61</v>
      </c>
      <c r="G81" s="0" t="n">
        <v>-21.3</v>
      </c>
      <c r="H81" s="0" t="n">
        <v>-20.2</v>
      </c>
      <c r="I81" s="0" t="n">
        <v>-19.9</v>
      </c>
      <c r="J81" s="0" t="n">
        <v>-19</v>
      </c>
      <c r="K81" s="0" t="n">
        <v>-18.7</v>
      </c>
      <c r="L81" s="0" t="n">
        <v>-18.4</v>
      </c>
      <c r="M81" s="0" t="n">
        <v>-18.1</v>
      </c>
      <c r="N81" s="0" t="n">
        <v>-18</v>
      </c>
      <c r="O81" s="0" t="n">
        <v>-17.8</v>
      </c>
      <c r="P81" s="0" t="n">
        <v>-17.4</v>
      </c>
      <c r="Q81" s="0" t="n">
        <v>-17.2</v>
      </c>
      <c r="R81" s="0" t="n">
        <v>-16.7</v>
      </c>
      <c r="S81" s="0" t="n">
        <v>1.1</v>
      </c>
      <c r="T81" s="0" t="n">
        <f aca="false">VALUE(VLOOKUP(B81,FgeoVlookup,2,FALSE()))</f>
        <v>1.1</v>
      </c>
      <c r="U81" s="111" t="s">
        <v>395</v>
      </c>
    </row>
    <row r="82" customFormat="false" ht="12.75" hidden="false" customHeight="false" outlineLevel="0" collapsed="false">
      <c r="B82" s="0" t="s">
        <v>456</v>
      </c>
      <c r="C82" s="0" t="s">
        <v>456</v>
      </c>
      <c r="D82" s="0" t="n">
        <v>102512</v>
      </c>
      <c r="E82" s="0" t="n">
        <v>58.88</v>
      </c>
      <c r="F82" s="0" t="n">
        <v>14.91</v>
      </c>
      <c r="G82" s="0" t="n">
        <v>-16.7</v>
      </c>
      <c r="H82" s="0" t="n">
        <v>-16.3</v>
      </c>
      <c r="I82" s="0" t="n">
        <v>-15.1</v>
      </c>
      <c r="J82" s="0" t="n">
        <v>-14.8</v>
      </c>
      <c r="K82" s="0" t="n">
        <v>-14.5</v>
      </c>
      <c r="L82" s="0" t="n">
        <v>-14.2</v>
      </c>
      <c r="M82" s="0" t="n">
        <v>-13.9</v>
      </c>
      <c r="N82" s="0" t="n">
        <v>-13.9</v>
      </c>
      <c r="O82" s="0" t="n">
        <v>-13.6</v>
      </c>
      <c r="P82" s="0" t="n">
        <v>-13.1</v>
      </c>
      <c r="Q82" s="0" t="n">
        <v>-12.7</v>
      </c>
      <c r="R82" s="0" t="n">
        <v>-12.4</v>
      </c>
      <c r="S82" s="0" t="n">
        <v>1.1</v>
      </c>
      <c r="T82" s="0" t="n">
        <f aca="false">VALUE(VLOOKUP(B82,FgeoVlookup,2,FALSE()))</f>
        <v>1.1</v>
      </c>
      <c r="U82" s="111" t="s">
        <v>456</v>
      </c>
    </row>
    <row r="83" customFormat="false" ht="12.75" hidden="false" customHeight="false" outlineLevel="0" collapsed="false">
      <c r="B83" s="0" t="s">
        <v>342</v>
      </c>
      <c r="C83" s="0" t="s">
        <v>342</v>
      </c>
      <c r="D83" s="0" t="n">
        <v>102702</v>
      </c>
      <c r="E83" s="0" t="n">
        <v>60.14</v>
      </c>
      <c r="F83" s="0" t="n">
        <v>16.2</v>
      </c>
      <c r="G83" s="0" t="n">
        <v>-19.3</v>
      </c>
      <c r="H83" s="0" t="n">
        <v>-18.7</v>
      </c>
      <c r="I83" s="0" t="n">
        <v>-18</v>
      </c>
      <c r="J83" s="0" t="n">
        <v>-17.3</v>
      </c>
      <c r="K83" s="0" t="n">
        <v>-17</v>
      </c>
      <c r="L83" s="0" t="n">
        <v>-16.6</v>
      </c>
      <c r="M83" s="0" t="n">
        <v>-16.2</v>
      </c>
      <c r="N83" s="0" t="n">
        <v>-16.2</v>
      </c>
      <c r="O83" s="0" t="n">
        <v>-16</v>
      </c>
      <c r="P83" s="0" t="n">
        <v>-15.7</v>
      </c>
      <c r="Q83" s="0" t="n">
        <v>-15.5</v>
      </c>
      <c r="R83" s="0" t="n">
        <v>-15.5</v>
      </c>
      <c r="S83" s="0" t="n">
        <v>1.1</v>
      </c>
      <c r="T83" s="0" t="n">
        <f aca="false">VALUE(VLOOKUP(B83,FgeoVlookup,2,FALSE()))</f>
        <v>1.1</v>
      </c>
      <c r="U83" s="316" t="s">
        <v>342</v>
      </c>
    </row>
    <row r="84" customFormat="false" ht="12.75" hidden="false" customHeight="false" outlineLevel="0" collapsed="false">
      <c r="B84" s="0" t="s">
        <v>572</v>
      </c>
      <c r="C84" s="0" t="s">
        <v>572</v>
      </c>
      <c r="D84" s="0" t="n">
        <v>102223</v>
      </c>
      <c r="E84" s="0" t="n">
        <v>59.03</v>
      </c>
      <c r="F84" s="0" t="n">
        <v>12.22</v>
      </c>
      <c r="G84" s="0" t="n">
        <v>-17.8</v>
      </c>
      <c r="H84" s="0" t="n">
        <v>-17.1</v>
      </c>
      <c r="I84" s="0" t="n">
        <v>-16.9</v>
      </c>
      <c r="J84" s="0" t="n">
        <v>-16.4</v>
      </c>
      <c r="K84" s="0" t="n">
        <v>-15.7</v>
      </c>
      <c r="L84" s="0" t="n">
        <v>-15.7</v>
      </c>
      <c r="M84" s="0" t="n">
        <v>-15.4</v>
      </c>
      <c r="N84" s="0" t="n">
        <v>-15.3</v>
      </c>
      <c r="O84" s="0" t="n">
        <v>-14.9</v>
      </c>
      <c r="P84" s="0" t="n">
        <v>-14.5</v>
      </c>
      <c r="Q84" s="0" t="n">
        <v>-14.5</v>
      </c>
      <c r="R84" s="0" t="n">
        <v>-14.2</v>
      </c>
      <c r="S84" s="0" t="n">
        <v>1</v>
      </c>
      <c r="T84" s="0" t="n">
        <f aca="false">VALUE(VLOOKUP(B84,FgeoVlookup,2,FALSE()))</f>
        <v>1</v>
      </c>
      <c r="U84" s="111" t="s">
        <v>572</v>
      </c>
    </row>
    <row r="85" customFormat="false" ht="12.75" hidden="false" customHeight="false" outlineLevel="0" collapsed="false">
      <c r="B85" s="0" t="s">
        <v>396</v>
      </c>
      <c r="C85" s="0" t="s">
        <v>396</v>
      </c>
      <c r="D85" s="0" t="n">
        <v>102912</v>
      </c>
      <c r="E85" s="0" t="n">
        <v>63.93</v>
      </c>
      <c r="F85" s="0" t="n">
        <v>19.22</v>
      </c>
      <c r="G85" s="0" t="n">
        <v>-25.8</v>
      </c>
      <c r="H85" s="0" t="n">
        <v>-24.8</v>
      </c>
      <c r="I85" s="0" t="n">
        <v>-23.9</v>
      </c>
      <c r="J85" s="0" t="n">
        <v>-23.2</v>
      </c>
      <c r="K85" s="0" t="n">
        <v>-22.8</v>
      </c>
      <c r="L85" s="0" t="n">
        <v>-22.3</v>
      </c>
      <c r="M85" s="0" t="n">
        <v>-22.1</v>
      </c>
      <c r="N85" s="0" t="n">
        <v>-21.8</v>
      </c>
      <c r="O85" s="0" t="n">
        <v>-21.6</v>
      </c>
      <c r="P85" s="0" t="n">
        <v>-21.2</v>
      </c>
      <c r="Q85" s="0" t="n">
        <v>-20.9</v>
      </c>
      <c r="R85" s="0" t="n">
        <v>-20.6</v>
      </c>
      <c r="S85" s="0" t="n">
        <v>1.4</v>
      </c>
      <c r="T85" s="0" t="n">
        <f aca="false">VALUE(VLOOKUP(B85,FgeoVlookup,2,FALSE()))</f>
        <v>1.4</v>
      </c>
      <c r="U85" s="111" t="s">
        <v>396</v>
      </c>
      <c r="V85" s="111"/>
    </row>
    <row r="86" customFormat="false" ht="12.75" hidden="false" customHeight="false" outlineLevel="0" collapsed="false">
      <c r="B86" s="0" t="s">
        <v>447</v>
      </c>
      <c r="C86" s="0" t="s">
        <v>447</v>
      </c>
      <c r="D86" s="0" t="n">
        <v>102128</v>
      </c>
      <c r="E86" s="0" t="n">
        <v>56.08</v>
      </c>
      <c r="F86" s="0" t="n">
        <v>12.94</v>
      </c>
      <c r="G86" s="0" t="n">
        <v>-11</v>
      </c>
      <c r="H86" s="0" t="n">
        <v>-10.6</v>
      </c>
      <c r="I86" s="0" t="n">
        <v>-9.7</v>
      </c>
      <c r="J86" s="0" t="n">
        <v>-9.7</v>
      </c>
      <c r="K86" s="0" t="n">
        <v>-9.5</v>
      </c>
      <c r="L86" s="0" t="n">
        <v>-9.4</v>
      </c>
      <c r="M86" s="0" t="n">
        <v>-9.4</v>
      </c>
      <c r="N86" s="0" t="n">
        <v>-8.9</v>
      </c>
      <c r="O86" s="0" t="n">
        <v>-8.9</v>
      </c>
      <c r="P86" s="0" t="n">
        <v>-8.6</v>
      </c>
      <c r="Q86" s="0" t="n">
        <v>-8.2</v>
      </c>
      <c r="R86" s="0" t="n">
        <v>-8.1</v>
      </c>
      <c r="S86" s="0" t="n">
        <v>0.9</v>
      </c>
      <c r="T86" s="0" t="n">
        <f aca="false">VALUE(VLOOKUP(B86,FgeoVlookup,2,FALSE()))</f>
        <v>0.9</v>
      </c>
      <c r="U86" s="111" t="s">
        <v>447</v>
      </c>
    </row>
    <row r="87" customFormat="false" ht="12.75" hidden="false" customHeight="false" outlineLevel="0" collapsed="false">
      <c r="B87" s="0" t="s">
        <v>371</v>
      </c>
      <c r="C87" s="0" t="s">
        <v>371</v>
      </c>
      <c r="D87" s="0" t="n">
        <v>102006</v>
      </c>
      <c r="E87" s="0" t="n">
        <v>65.82</v>
      </c>
      <c r="F87" s="0" t="n">
        <v>21.7</v>
      </c>
      <c r="G87" s="0" t="n">
        <v>-29.1</v>
      </c>
      <c r="H87" s="0" t="n">
        <v>-27.8</v>
      </c>
      <c r="I87" s="0" t="n">
        <v>-27</v>
      </c>
      <c r="J87" s="0" t="n">
        <v>-25.8</v>
      </c>
      <c r="K87" s="0" t="n">
        <v>-25.6</v>
      </c>
      <c r="L87" s="0" t="n">
        <v>-25.2</v>
      </c>
      <c r="M87" s="0" t="n">
        <v>-24.6</v>
      </c>
      <c r="N87" s="0" t="n">
        <v>-24.5</v>
      </c>
      <c r="O87" s="0" t="n">
        <v>-24.1</v>
      </c>
      <c r="P87" s="0" t="n">
        <v>-23.7</v>
      </c>
      <c r="Q87" s="0" t="n">
        <v>-23.4</v>
      </c>
      <c r="R87" s="0" t="n">
        <v>-23.2</v>
      </c>
      <c r="S87" s="0" t="n">
        <v>1.5</v>
      </c>
      <c r="T87" s="0" t="n">
        <f aca="false">VALUE(VLOOKUP(B87,FgeoVlookup,2,FALSE()))</f>
        <v>1.5</v>
      </c>
      <c r="U87" s="111" t="s">
        <v>371</v>
      </c>
    </row>
    <row r="88" customFormat="false" ht="12.75" hidden="false" customHeight="false" outlineLevel="0" collapsed="false">
      <c r="B88" s="0" t="s">
        <v>576</v>
      </c>
      <c r="C88" s="0" t="s">
        <v>576</v>
      </c>
      <c r="D88" s="0" t="n">
        <v>102243</v>
      </c>
      <c r="E88" s="0" t="n">
        <v>57.67</v>
      </c>
      <c r="F88" s="0" t="n">
        <v>12.57</v>
      </c>
      <c r="G88" s="0" t="n">
        <v>-15.1</v>
      </c>
      <c r="H88" s="0" t="n">
        <v>-14.3</v>
      </c>
      <c r="I88" s="0" t="n">
        <v>-13.4</v>
      </c>
      <c r="J88" s="0" t="n">
        <v>-12.9</v>
      </c>
      <c r="K88" s="0" t="n">
        <v>-12.9</v>
      </c>
      <c r="L88" s="0" t="n">
        <v>-12.8</v>
      </c>
      <c r="M88" s="0" t="n">
        <v>-12.8</v>
      </c>
      <c r="N88" s="0" t="n">
        <v>-12.8</v>
      </c>
      <c r="O88" s="0" t="n">
        <v>-12.5</v>
      </c>
      <c r="P88" s="0" t="n">
        <v>-12.2</v>
      </c>
      <c r="Q88" s="0" t="n">
        <v>-12.1</v>
      </c>
      <c r="R88" s="0" t="n">
        <v>-11.8</v>
      </c>
      <c r="S88" s="0" t="n">
        <v>1</v>
      </c>
      <c r="T88" s="0" t="n">
        <f aca="false">VALUE(VLOOKUP(B88,FgeoVlookup,2,FALSE()))</f>
        <v>1</v>
      </c>
      <c r="U88" s="111" t="s">
        <v>576</v>
      </c>
    </row>
    <row r="89" customFormat="false" ht="12.75" hidden="false" customHeight="false" outlineLevel="0" collapsed="false">
      <c r="B89" s="0" t="s">
        <v>404</v>
      </c>
      <c r="C89" s="0" t="s">
        <v>404</v>
      </c>
      <c r="D89" s="0" t="n">
        <v>102718</v>
      </c>
      <c r="E89" s="0" t="n">
        <v>61.35</v>
      </c>
      <c r="F89" s="0" t="n">
        <v>16.39</v>
      </c>
      <c r="G89" s="0" t="n">
        <v>-21.5</v>
      </c>
      <c r="H89" s="0" t="n">
        <v>-20.9</v>
      </c>
      <c r="I89" s="0" t="n">
        <v>-20.3</v>
      </c>
      <c r="J89" s="0" t="n">
        <v>-19</v>
      </c>
      <c r="K89" s="0" t="n">
        <v>-18.9</v>
      </c>
      <c r="L89" s="0" t="n">
        <v>-18.2</v>
      </c>
      <c r="M89" s="0" t="n">
        <v>-17.9</v>
      </c>
      <c r="N89" s="0" t="n">
        <v>-17.9</v>
      </c>
      <c r="O89" s="0" t="n">
        <v>-17.6</v>
      </c>
      <c r="P89" s="0" t="n">
        <v>-17.6</v>
      </c>
      <c r="Q89" s="0" t="n">
        <v>-17.1</v>
      </c>
      <c r="R89" s="0" t="n">
        <v>-17.1</v>
      </c>
      <c r="S89" s="0" t="n">
        <v>1.2</v>
      </c>
      <c r="T89" s="0" t="n">
        <f aca="false">VALUE(VLOOKUP(B89,FgeoVlookup,2,FALSE()))</f>
        <v>1.2</v>
      </c>
      <c r="U89" s="316" t="s">
        <v>404</v>
      </c>
    </row>
    <row r="90" customFormat="false" ht="12.75" hidden="false" customHeight="false" outlineLevel="0" collapsed="false">
      <c r="B90" s="0" t="s">
        <v>348</v>
      </c>
      <c r="C90" s="0" t="s">
        <v>348</v>
      </c>
      <c r="D90" s="0" t="n">
        <v>102308</v>
      </c>
      <c r="E90" s="0" t="n">
        <v>56.88</v>
      </c>
      <c r="F90" s="0" t="n">
        <v>16.66</v>
      </c>
      <c r="G90" s="0" t="n">
        <v>-11.8</v>
      </c>
      <c r="H90" s="0" t="n">
        <v>-11.3</v>
      </c>
      <c r="I90" s="0" t="n">
        <v>-10.9</v>
      </c>
      <c r="J90" s="0" t="n">
        <v>-10.4</v>
      </c>
      <c r="K90" s="0" t="n">
        <v>-10.1</v>
      </c>
      <c r="L90" s="0" t="n">
        <v>-10.1</v>
      </c>
      <c r="M90" s="0" t="n">
        <v>-9.9</v>
      </c>
      <c r="N90" s="0" t="n">
        <v>-9.7</v>
      </c>
      <c r="O90" s="0" t="n">
        <v>-9.3</v>
      </c>
      <c r="P90" s="0" t="n">
        <v>-8.9</v>
      </c>
      <c r="Q90" s="0" t="n">
        <v>-8.9</v>
      </c>
      <c r="R90" s="0" t="n">
        <v>-8.8</v>
      </c>
      <c r="S90" s="0" t="n">
        <v>0.9</v>
      </c>
      <c r="T90" s="0" t="n">
        <f aca="false">VALUE(VLOOKUP(B90,FgeoVlookup,2,FALSE()))</f>
        <v>0.9</v>
      </c>
      <c r="U90" s="111" t="s">
        <v>348</v>
      </c>
    </row>
    <row r="91" customFormat="false" ht="12.75" hidden="false" customHeight="false" outlineLevel="0" collapsed="false">
      <c r="B91" s="0" t="s">
        <v>403</v>
      </c>
      <c r="C91" s="0" t="s">
        <v>403</v>
      </c>
      <c r="D91" s="0" t="n">
        <v>102707</v>
      </c>
      <c r="E91" s="0" t="n">
        <v>60.47</v>
      </c>
      <c r="F91" s="0" t="n">
        <v>15.46</v>
      </c>
      <c r="G91" s="0" t="n">
        <v>-20.7</v>
      </c>
      <c r="H91" s="0" t="n">
        <v>-19.9</v>
      </c>
      <c r="I91" s="0" t="n">
        <v>-19.3</v>
      </c>
      <c r="J91" s="0" t="n">
        <v>-18.7</v>
      </c>
      <c r="K91" s="0" t="n">
        <v>-18.3</v>
      </c>
      <c r="L91" s="0" t="n">
        <v>-17.8</v>
      </c>
      <c r="M91" s="0" t="n">
        <v>-17.3</v>
      </c>
      <c r="N91" s="0" t="n">
        <v>-17.1</v>
      </c>
      <c r="O91" s="0" t="n">
        <v>-16.9</v>
      </c>
      <c r="P91" s="0" t="n">
        <v>-16.5</v>
      </c>
      <c r="Q91" s="0" t="n">
        <v>-16.3</v>
      </c>
      <c r="R91" s="0" t="n">
        <v>-16</v>
      </c>
      <c r="S91" s="0" t="n">
        <v>1.2</v>
      </c>
      <c r="T91" s="0" t="n">
        <f aca="false">VALUE(VLOOKUP(B91,FgeoVlookup,2,FALSE()))</f>
        <v>1.2</v>
      </c>
      <c r="U91" s="316" t="s">
        <v>403</v>
      </c>
    </row>
    <row r="92" customFormat="false" ht="12.75" hidden="false" customHeight="false" outlineLevel="0" collapsed="false">
      <c r="B92" s="0" t="s">
        <v>579</v>
      </c>
      <c r="C92" s="0" t="s">
        <v>579</v>
      </c>
      <c r="D92" s="0" t="n">
        <v>102206</v>
      </c>
      <c r="E92" s="0" t="n">
        <v>57.73</v>
      </c>
      <c r="F92" s="0" t="n">
        <v>12.95</v>
      </c>
      <c r="G92" s="0" t="n">
        <v>-15.6</v>
      </c>
      <c r="H92" s="0" t="n">
        <v>-14.7</v>
      </c>
      <c r="I92" s="0" t="n">
        <v>-13.8</v>
      </c>
      <c r="J92" s="0" t="n">
        <v>-13.6</v>
      </c>
      <c r="K92" s="0" t="n">
        <v>-13.3</v>
      </c>
      <c r="L92" s="0" t="n">
        <v>-13.1</v>
      </c>
      <c r="M92" s="0" t="n">
        <v>-13</v>
      </c>
      <c r="N92" s="0" t="n">
        <v>-13</v>
      </c>
      <c r="O92" s="0" t="n">
        <v>-12.4</v>
      </c>
      <c r="P92" s="0" t="n">
        <v>-12</v>
      </c>
      <c r="Q92" s="0" t="n">
        <v>-11.8</v>
      </c>
      <c r="R92" s="0" t="n">
        <v>-11.4</v>
      </c>
      <c r="S92" s="0" t="n">
        <v>1</v>
      </c>
      <c r="T92" s="0" t="n">
        <f aca="false">VALUE(VLOOKUP(B92,FgeoVlookup,2,FALSE()))</f>
        <v>1</v>
      </c>
      <c r="U92" s="111" t="s">
        <v>579</v>
      </c>
    </row>
    <row r="93" customFormat="false" ht="12.75" hidden="false" customHeight="false" outlineLevel="0" collapsed="false">
      <c r="A93" s="0" t="s">
        <v>668</v>
      </c>
      <c r="B93" s="327" t="s">
        <v>610</v>
      </c>
      <c r="C93" s="0" t="s">
        <v>668</v>
      </c>
      <c r="D93" s="0" t="n">
        <v>102130</v>
      </c>
      <c r="E93" s="0" t="n">
        <v>56.26</v>
      </c>
      <c r="F93" s="0" t="n">
        <v>14.08</v>
      </c>
      <c r="G93" s="0" t="n">
        <v>-13.5</v>
      </c>
      <c r="H93" s="0" t="n">
        <v>-12.1</v>
      </c>
      <c r="I93" s="0" t="n">
        <v>-11.6</v>
      </c>
      <c r="J93" s="0" t="n">
        <v>-11.4</v>
      </c>
      <c r="K93" s="0" t="n">
        <v>-11.2</v>
      </c>
      <c r="L93" s="0" t="n">
        <v>-11</v>
      </c>
      <c r="M93" s="0" t="n">
        <v>-11</v>
      </c>
      <c r="N93" s="0" t="n">
        <v>-10.7</v>
      </c>
      <c r="O93" s="0" t="n">
        <v>-10.5</v>
      </c>
      <c r="P93" s="0" t="n">
        <v>-10.3</v>
      </c>
      <c r="Q93" s="0" t="n">
        <v>-10</v>
      </c>
      <c r="R93" s="0" t="n">
        <v>-9.8</v>
      </c>
      <c r="S93" s="0" t="n">
        <v>0.9</v>
      </c>
      <c r="T93" s="0" t="n">
        <f aca="false">VALUE(VLOOKUP(B93,FgeoVlookup,2,FALSE()))</f>
        <v>0.9</v>
      </c>
      <c r="U93" s="111" t="s">
        <v>610</v>
      </c>
    </row>
    <row r="94" customFormat="false" ht="12.75" hidden="false" customHeight="false" outlineLevel="0" collapsed="false">
      <c r="B94" s="0" t="s">
        <v>466</v>
      </c>
      <c r="C94" s="0" t="s">
        <v>466</v>
      </c>
      <c r="D94" s="0" t="n">
        <v>102114</v>
      </c>
      <c r="E94" s="0" t="n">
        <v>56.08</v>
      </c>
      <c r="F94" s="0" t="n">
        <v>14.47</v>
      </c>
      <c r="G94" s="0" t="n">
        <v>-11.7</v>
      </c>
      <c r="H94" s="0" t="n">
        <v>-10.8</v>
      </c>
      <c r="I94" s="0" t="n">
        <v>-10.6</v>
      </c>
      <c r="J94" s="0" t="n">
        <v>-10.2</v>
      </c>
      <c r="K94" s="0" t="n">
        <v>-10.2</v>
      </c>
      <c r="L94" s="0" t="n">
        <v>-9.9</v>
      </c>
      <c r="M94" s="0" t="n">
        <v>-9.8</v>
      </c>
      <c r="N94" s="0" t="n">
        <v>-9.4</v>
      </c>
      <c r="O94" s="0" t="n">
        <v>-9.2</v>
      </c>
      <c r="P94" s="0" t="n">
        <v>-8.9</v>
      </c>
      <c r="Q94" s="0" t="n">
        <v>-8.7</v>
      </c>
      <c r="R94" s="0" t="n">
        <v>-8.4</v>
      </c>
      <c r="S94" s="0" t="n">
        <v>0.9</v>
      </c>
      <c r="T94" s="0" t="n">
        <f aca="false">VALUE(VLOOKUP(B94,FgeoVlookup,2,FALSE()))</f>
        <v>0.9</v>
      </c>
      <c r="U94" s="111" t="s">
        <v>466</v>
      </c>
    </row>
    <row r="95" customFormat="false" ht="12.75" hidden="false" customHeight="false" outlineLevel="0" collapsed="false">
      <c r="B95" s="0" t="s">
        <v>367</v>
      </c>
      <c r="C95" s="0" t="s">
        <v>367</v>
      </c>
      <c r="D95" s="0" t="n">
        <v>102803</v>
      </c>
      <c r="E95" s="0" t="n">
        <v>62.75</v>
      </c>
      <c r="F95" s="0" t="n">
        <v>15.42</v>
      </c>
      <c r="G95" s="0" t="n">
        <v>-26</v>
      </c>
      <c r="H95" s="0" t="n">
        <v>-25.8</v>
      </c>
      <c r="I95" s="0" t="n">
        <v>-24.8</v>
      </c>
      <c r="J95" s="0" t="n">
        <v>-23.6</v>
      </c>
      <c r="K95" s="0" t="n">
        <v>-23</v>
      </c>
      <c r="L95" s="0" t="n">
        <v>-22.1</v>
      </c>
      <c r="M95" s="0" t="n">
        <v>-21.4</v>
      </c>
      <c r="N95" s="0" t="n">
        <v>-21</v>
      </c>
      <c r="O95" s="0" t="n">
        <v>-20.6</v>
      </c>
      <c r="P95" s="0" t="n">
        <v>-20.2</v>
      </c>
      <c r="Q95" s="0" t="n">
        <v>-19.9</v>
      </c>
      <c r="R95" s="0" t="n">
        <v>-19.7</v>
      </c>
      <c r="S95" s="0" t="n">
        <v>1.4</v>
      </c>
      <c r="T95" s="0" t="n">
        <f aca="false">VALUE(VLOOKUP(B95,FgeoVlookup,2,FALSE()))</f>
        <v>1.4</v>
      </c>
      <c r="U95" s="111" t="s">
        <v>367</v>
      </c>
    </row>
    <row r="96" customFormat="false" ht="12.75" hidden="false" customHeight="false" outlineLevel="0" collapsed="false">
      <c r="B96" s="0" t="s">
        <v>483</v>
      </c>
      <c r="C96" s="0" t="s">
        <v>483</v>
      </c>
      <c r="D96" s="0" t="n">
        <v>102138</v>
      </c>
      <c r="E96" s="0" t="n">
        <v>55.63</v>
      </c>
      <c r="F96" s="0" t="n">
        <v>13.08</v>
      </c>
      <c r="G96" s="0" t="n">
        <v>-10.5</v>
      </c>
      <c r="H96" s="0" t="n">
        <v>-9.6</v>
      </c>
      <c r="I96" s="0" t="n">
        <v>-9.1</v>
      </c>
      <c r="J96" s="0" t="n">
        <v>-8.7</v>
      </c>
      <c r="K96" s="0" t="n">
        <v>-8.7</v>
      </c>
      <c r="L96" s="0" t="n">
        <v>-8.7</v>
      </c>
      <c r="M96" s="0" t="n">
        <v>-8.5</v>
      </c>
      <c r="N96" s="0" t="n">
        <v>-8.2</v>
      </c>
      <c r="O96" s="0" t="n">
        <v>-7.9</v>
      </c>
      <c r="P96" s="0" t="n">
        <v>-7.6</v>
      </c>
      <c r="Q96" s="0" t="n">
        <v>-7.6</v>
      </c>
      <c r="R96" s="0" t="n">
        <v>-7.4</v>
      </c>
      <c r="S96" s="0" t="n">
        <v>0.9</v>
      </c>
      <c r="T96" s="0" t="n">
        <f aca="false">VALUE(VLOOKUP(B96,FgeoVlookup,2,FALSE()))</f>
        <v>0.9</v>
      </c>
      <c r="U96" s="111" t="s">
        <v>483</v>
      </c>
    </row>
    <row r="97" customFormat="false" ht="12.75" hidden="false" customHeight="false" outlineLevel="0" collapsed="false">
      <c r="B97" s="0" t="s">
        <v>498</v>
      </c>
      <c r="C97" s="0" t="s">
        <v>498</v>
      </c>
      <c r="D97" s="0" t="n">
        <v>102132</v>
      </c>
      <c r="E97" s="0" t="n">
        <v>56.42</v>
      </c>
      <c r="F97" s="0" t="n">
        <v>12.85</v>
      </c>
      <c r="G97" s="0" t="n">
        <v>-12.5</v>
      </c>
      <c r="H97" s="0" t="n">
        <v>-11.8</v>
      </c>
      <c r="I97" s="0" t="n">
        <v>-10.8</v>
      </c>
      <c r="J97" s="0" t="n">
        <v>-10.8</v>
      </c>
      <c r="K97" s="0" t="n">
        <v>-10.5</v>
      </c>
      <c r="L97" s="0" t="n">
        <v>-10.5</v>
      </c>
      <c r="M97" s="0" t="n">
        <v>-10.5</v>
      </c>
      <c r="N97" s="0" t="n">
        <v>-10.5</v>
      </c>
      <c r="O97" s="0" t="n">
        <v>-10.2</v>
      </c>
      <c r="P97" s="0" t="n">
        <v>-9.9</v>
      </c>
      <c r="Q97" s="0" t="n">
        <v>-9.8</v>
      </c>
      <c r="R97" s="0" t="n">
        <v>-9.5</v>
      </c>
      <c r="S97" s="0" t="n">
        <v>0.9</v>
      </c>
      <c r="T97" s="0" t="n">
        <f aca="false">VALUE(VLOOKUP(B97,FgeoVlookup,2,FALSE()))</f>
        <v>0.9</v>
      </c>
      <c r="U97" s="111" t="s">
        <v>498</v>
      </c>
    </row>
    <row r="98" customFormat="false" ht="12.75" hidden="false" customHeight="false" outlineLevel="0" collapsed="false">
      <c r="B98" s="0" t="s">
        <v>475</v>
      </c>
      <c r="C98" s="0" t="s">
        <v>475</v>
      </c>
      <c r="D98" s="0" t="n">
        <v>102532</v>
      </c>
      <c r="E98" s="0" t="n">
        <v>59.23</v>
      </c>
      <c r="F98" s="0" t="n">
        <v>14.43</v>
      </c>
      <c r="G98" s="0" t="n">
        <v>-18.3</v>
      </c>
      <c r="H98" s="0" t="n">
        <v>-17.2</v>
      </c>
      <c r="I98" s="0" t="n">
        <v>-16.9</v>
      </c>
      <c r="J98" s="0" t="n">
        <v>-16.3</v>
      </c>
      <c r="K98" s="0" t="n">
        <v>-16</v>
      </c>
      <c r="L98" s="0" t="n">
        <v>-15.4</v>
      </c>
      <c r="M98" s="0" t="n">
        <v>-15.4</v>
      </c>
      <c r="N98" s="0" t="n">
        <v>-15.4</v>
      </c>
      <c r="O98" s="0" t="n">
        <v>-15.1</v>
      </c>
      <c r="P98" s="0" t="n">
        <v>-14.8</v>
      </c>
      <c r="Q98" s="0" t="n">
        <v>-14.5</v>
      </c>
      <c r="R98" s="0" t="n">
        <v>-14</v>
      </c>
      <c r="S98" s="0" t="n">
        <v>1.1</v>
      </c>
      <c r="T98" s="0" t="n">
        <f aca="false">VALUE(VLOOKUP(B98,FgeoVlookup,2,FALSE()))</f>
        <v>1.1</v>
      </c>
      <c r="U98" s="111" t="s">
        <v>475</v>
      </c>
    </row>
    <row r="99" customFormat="false" ht="12.75" hidden="false" customHeight="false" outlineLevel="0" collapsed="false">
      <c r="B99" s="0" t="s">
        <v>471</v>
      </c>
      <c r="C99" s="0" t="s">
        <v>471</v>
      </c>
      <c r="D99" s="0" t="n">
        <v>102901</v>
      </c>
      <c r="E99" s="0" t="n">
        <v>64.26</v>
      </c>
      <c r="F99" s="0" t="n">
        <v>16.42</v>
      </c>
      <c r="G99" s="0" t="n">
        <v>-29.2</v>
      </c>
      <c r="H99" s="0" t="n">
        <v>-28.4</v>
      </c>
      <c r="I99" s="0" t="n">
        <v>-27.1</v>
      </c>
      <c r="J99" s="0" t="n">
        <v>-26.3</v>
      </c>
      <c r="K99" s="0" t="n">
        <v>-25.7</v>
      </c>
      <c r="L99" s="0" t="n">
        <v>-25.2</v>
      </c>
      <c r="M99" s="0" t="n">
        <v>-24.9</v>
      </c>
      <c r="N99" s="0" t="n">
        <v>-24.7</v>
      </c>
      <c r="O99" s="0" t="n">
        <v>-24.2</v>
      </c>
      <c r="P99" s="0" t="n">
        <v>-23.9</v>
      </c>
      <c r="Q99" s="0" t="n">
        <v>-23.8</v>
      </c>
      <c r="R99" s="0" t="n">
        <v>-23.6</v>
      </c>
      <c r="S99" s="0" t="n">
        <v>1.5</v>
      </c>
      <c r="T99" s="0" t="n">
        <f aca="false">VALUE(VLOOKUP(B99,FgeoVlookup,2,FALSE()))</f>
        <v>1.5</v>
      </c>
      <c r="U99" s="111" t="s">
        <v>471</v>
      </c>
    </row>
    <row r="100" customFormat="false" ht="12.75" hidden="false" customHeight="false" outlineLevel="0" collapsed="false">
      <c r="A100" s="0" t="s">
        <v>669</v>
      </c>
      <c r="B100" s="327" t="s">
        <v>582</v>
      </c>
      <c r="C100" s="0" t="s">
        <v>669</v>
      </c>
      <c r="D100" s="0" t="n">
        <v>102222</v>
      </c>
      <c r="E100" s="0" t="n">
        <v>58.91</v>
      </c>
      <c r="F100" s="0" t="n">
        <v>11.94</v>
      </c>
      <c r="G100" s="0" t="n">
        <v>-16.9</v>
      </c>
      <c r="H100" s="0" t="n">
        <v>-16.2</v>
      </c>
      <c r="I100" s="0" t="n">
        <v>-16</v>
      </c>
      <c r="J100" s="0" t="n">
        <v>-15.5</v>
      </c>
      <c r="K100" s="0" t="n">
        <v>-14.9</v>
      </c>
      <c r="L100" s="0" t="n">
        <v>-14.9</v>
      </c>
      <c r="M100" s="0" t="n">
        <v>-14.6</v>
      </c>
      <c r="N100" s="0" t="n">
        <v>-14.2</v>
      </c>
      <c r="O100" s="0" t="n">
        <v>-14.1</v>
      </c>
      <c r="P100" s="0" t="n">
        <v>-13.8</v>
      </c>
      <c r="Q100" s="0" t="n">
        <v>-13.5</v>
      </c>
      <c r="R100" s="0" t="n">
        <v>-13.3</v>
      </c>
      <c r="S100" s="0" t="n">
        <v>1</v>
      </c>
      <c r="T100" s="0" t="n">
        <f aca="false">VALUE(VLOOKUP(B100,FgeoVlookup,2,FALSE()))</f>
        <v>1</v>
      </c>
      <c r="U100" s="329" t="s">
        <v>582</v>
      </c>
      <c r="V100" s="0" t="s">
        <v>670</v>
      </c>
      <c r="W100" s="0" t="s">
        <v>671</v>
      </c>
    </row>
    <row r="101" customFormat="false" ht="12.75" hidden="false" customHeight="false" outlineLevel="0" collapsed="false">
      <c r="B101" s="0" t="s">
        <v>520</v>
      </c>
      <c r="C101" s="0" t="s">
        <v>520</v>
      </c>
      <c r="D101" s="0" t="n">
        <v>102322</v>
      </c>
      <c r="E101" s="0" t="n">
        <v>57.67</v>
      </c>
      <c r="F101" s="0" t="n">
        <v>14.97</v>
      </c>
      <c r="G101" s="0" t="n">
        <v>-15.9</v>
      </c>
      <c r="H101" s="0" t="n">
        <v>-15.5</v>
      </c>
      <c r="I101" s="0" t="n">
        <v>-14.4</v>
      </c>
      <c r="J101" s="0" t="n">
        <v>-14</v>
      </c>
      <c r="K101" s="0" t="n">
        <v>-13.8</v>
      </c>
      <c r="L101" s="0" t="n">
        <v>-13.5</v>
      </c>
      <c r="M101" s="0" t="n">
        <v>-13.5</v>
      </c>
      <c r="N101" s="0" t="n">
        <v>-13.4</v>
      </c>
      <c r="O101" s="0" t="n">
        <v>-13</v>
      </c>
      <c r="P101" s="0" t="n">
        <v>-12.4</v>
      </c>
      <c r="Q101" s="0" t="n">
        <v>-12.1</v>
      </c>
      <c r="R101" s="0" t="n">
        <v>-11.8</v>
      </c>
      <c r="S101" s="0" t="n">
        <v>1.1</v>
      </c>
      <c r="T101" s="0" t="n">
        <f aca="false">VALUE(VLOOKUP(B101,FgeoVlookup,2,FALSE()))</f>
        <v>1.1</v>
      </c>
      <c r="U101" s="111" t="s">
        <v>520</v>
      </c>
    </row>
    <row r="102" customFormat="false" ht="12.75" hidden="false" customHeight="false" outlineLevel="0" collapsed="false">
      <c r="B102" s="0" t="s">
        <v>369</v>
      </c>
      <c r="C102" s="0" t="s">
        <v>369</v>
      </c>
      <c r="D102" s="0" t="n">
        <v>102341</v>
      </c>
      <c r="E102" s="0" t="n">
        <v>56.63</v>
      </c>
      <c r="F102" s="0" t="n">
        <v>15.54</v>
      </c>
      <c r="G102" s="0" t="n">
        <v>-14.1</v>
      </c>
      <c r="H102" s="0" t="n">
        <v>-13.2</v>
      </c>
      <c r="I102" s="0" t="n">
        <v>-12.8</v>
      </c>
      <c r="J102" s="0" t="n">
        <v>-12.5</v>
      </c>
      <c r="K102" s="0" t="n">
        <v>-12</v>
      </c>
      <c r="L102" s="0" t="n">
        <v>-11.9</v>
      </c>
      <c r="M102" s="0" t="n">
        <v>-11.8</v>
      </c>
      <c r="N102" s="0" t="n">
        <v>-11.5</v>
      </c>
      <c r="O102" s="0" t="n">
        <v>-11.3</v>
      </c>
      <c r="P102" s="0" t="n">
        <v>-10.9</v>
      </c>
      <c r="Q102" s="0" t="n">
        <v>-10.5</v>
      </c>
      <c r="R102" s="0" t="n">
        <v>-10.3</v>
      </c>
      <c r="S102" s="0" t="n">
        <v>0.9</v>
      </c>
      <c r="T102" s="0" t="n">
        <f aca="false">VALUE(VLOOKUP(B102,FgeoVlookup,2,FALSE()))</f>
        <v>0.9</v>
      </c>
      <c r="U102" s="111" t="s">
        <v>369</v>
      </c>
    </row>
    <row r="103" customFormat="false" ht="12.75" hidden="false" customHeight="false" outlineLevel="0" collapsed="false">
      <c r="B103" s="0" t="s">
        <v>354</v>
      </c>
      <c r="C103" s="0" t="s">
        <v>354</v>
      </c>
      <c r="D103" s="0" t="n">
        <v>102606</v>
      </c>
      <c r="E103" s="0" t="n">
        <v>59.64</v>
      </c>
      <c r="F103" s="0" t="n">
        <v>17.09</v>
      </c>
      <c r="G103" s="0" t="n">
        <v>-18.4</v>
      </c>
      <c r="H103" s="0" t="n">
        <v>-18</v>
      </c>
      <c r="I103" s="0" t="n">
        <v>-17</v>
      </c>
      <c r="J103" s="0" t="n">
        <v>-16.5</v>
      </c>
      <c r="K103" s="0" t="n">
        <v>-16</v>
      </c>
      <c r="L103" s="0" t="n">
        <v>-15.5</v>
      </c>
      <c r="M103" s="0" t="n">
        <v>-15.3</v>
      </c>
      <c r="N103" s="0" t="n">
        <v>-15.1</v>
      </c>
      <c r="O103" s="0" t="n">
        <v>-14.9</v>
      </c>
      <c r="P103" s="0" t="n">
        <v>-14.6</v>
      </c>
      <c r="Q103" s="0" t="n">
        <v>-14.3</v>
      </c>
      <c r="R103" s="0" t="n">
        <v>-14.3</v>
      </c>
      <c r="S103" s="0" t="n">
        <v>1</v>
      </c>
      <c r="T103" s="0" t="n">
        <f aca="false">VALUE(VLOOKUP(B103,FgeoVlookup,2,FALSE()))</f>
        <v>1</v>
      </c>
      <c r="U103" s="111" t="s">
        <v>354</v>
      </c>
    </row>
    <row r="104" customFormat="false" ht="12.75" hidden="false" customHeight="false" outlineLevel="0" collapsed="false">
      <c r="B104" s="0" t="s">
        <v>511</v>
      </c>
      <c r="C104" s="0" t="s">
        <v>511</v>
      </c>
      <c r="D104" s="0" t="n">
        <v>102107</v>
      </c>
      <c r="E104" s="0" t="n">
        <v>55.84</v>
      </c>
      <c r="F104" s="0" t="n">
        <v>13.31</v>
      </c>
      <c r="G104" s="0" t="n">
        <v>-11.9</v>
      </c>
      <c r="H104" s="0" t="n">
        <v>-10.8</v>
      </c>
      <c r="I104" s="0" t="n">
        <v>-10.4</v>
      </c>
      <c r="J104" s="0" t="n">
        <v>-10.3</v>
      </c>
      <c r="K104" s="0" t="n">
        <v>-10.2</v>
      </c>
      <c r="L104" s="0" t="n">
        <v>-9.9</v>
      </c>
      <c r="M104" s="0" t="n">
        <v>-9.8</v>
      </c>
      <c r="N104" s="0" t="n">
        <v>-9.5</v>
      </c>
      <c r="O104" s="0" t="n">
        <v>-9.2</v>
      </c>
      <c r="P104" s="0" t="n">
        <v>-9.1</v>
      </c>
      <c r="Q104" s="0" t="n">
        <v>-8.7</v>
      </c>
      <c r="R104" s="0" t="n">
        <v>-8.6</v>
      </c>
      <c r="S104" s="0" t="n">
        <v>0.9</v>
      </c>
      <c r="T104" s="0" t="n">
        <f aca="false">VALUE(VLOOKUP(B104,FgeoVlookup,2,FALSE()))</f>
        <v>0.9</v>
      </c>
      <c r="U104" s="111" t="s">
        <v>511</v>
      </c>
    </row>
    <row r="105" customFormat="false" ht="12.75" hidden="false" customHeight="false" outlineLevel="0" collapsed="false">
      <c r="B105" s="0" t="s">
        <v>585</v>
      </c>
      <c r="C105" s="0" t="s">
        <v>585</v>
      </c>
      <c r="D105" s="0" t="n">
        <v>102244</v>
      </c>
      <c r="E105" s="0" t="n">
        <v>58.19</v>
      </c>
      <c r="F105" s="0" t="n">
        <v>12.72</v>
      </c>
      <c r="G105" s="0" t="n">
        <v>-15.7</v>
      </c>
      <c r="H105" s="0" t="n">
        <v>-15.2</v>
      </c>
      <c r="I105" s="0" t="n">
        <v>-14.4</v>
      </c>
      <c r="J105" s="0" t="n">
        <v>-14.1</v>
      </c>
      <c r="K105" s="0" t="n">
        <v>-13.7</v>
      </c>
      <c r="L105" s="0" t="n">
        <v>-13.5</v>
      </c>
      <c r="M105" s="0" t="n">
        <v>-13.4</v>
      </c>
      <c r="N105" s="0" t="n">
        <v>-13.2</v>
      </c>
      <c r="O105" s="0" t="n">
        <v>-12.8</v>
      </c>
      <c r="P105" s="0" t="n">
        <v>-12.3</v>
      </c>
      <c r="Q105" s="0" t="n">
        <v>-12.2</v>
      </c>
      <c r="R105" s="0" t="n">
        <v>-11.7</v>
      </c>
      <c r="S105" s="0" t="n">
        <v>1</v>
      </c>
      <c r="T105" s="0" t="n">
        <f aca="false">VALUE(VLOOKUP(B105,FgeoVlookup,2,FALSE()))</f>
        <v>1</v>
      </c>
      <c r="U105" s="111" t="s">
        <v>585</v>
      </c>
    </row>
    <row r="106" customFormat="false" ht="12.75" hidden="false" customHeight="false" outlineLevel="0" collapsed="false">
      <c r="B106" s="0" t="s">
        <v>473</v>
      </c>
      <c r="C106" s="0" t="s">
        <v>473</v>
      </c>
      <c r="D106" s="0" t="n">
        <v>102603</v>
      </c>
      <c r="E106" s="0" t="n">
        <v>60</v>
      </c>
      <c r="F106" s="0" t="n">
        <v>15.81</v>
      </c>
      <c r="G106" s="0" t="n">
        <v>-19.1</v>
      </c>
      <c r="H106" s="0" t="n">
        <v>-18.2</v>
      </c>
      <c r="I106" s="0" t="n">
        <v>-17.7</v>
      </c>
      <c r="J106" s="0" t="n">
        <v>-17</v>
      </c>
      <c r="K106" s="0" t="n">
        <v>-16.7</v>
      </c>
      <c r="L106" s="0" t="n">
        <v>-16.1</v>
      </c>
      <c r="M106" s="0" t="n">
        <v>-15.8</v>
      </c>
      <c r="N106" s="0" t="n">
        <v>-15.8</v>
      </c>
      <c r="O106" s="0" t="n">
        <v>-15.6</v>
      </c>
      <c r="P106" s="0" t="n">
        <v>-15.2</v>
      </c>
      <c r="Q106" s="0" t="n">
        <v>-15.1</v>
      </c>
      <c r="R106" s="0" t="n">
        <v>-14.9</v>
      </c>
      <c r="S106" s="0" t="n">
        <v>1.1</v>
      </c>
      <c r="T106" s="0" t="n">
        <f aca="false">VALUE(VLOOKUP(B106,FgeoVlookup,2,FALSE()))</f>
        <v>1.1</v>
      </c>
      <c r="U106" s="111" t="s">
        <v>473</v>
      </c>
    </row>
    <row r="107" customFormat="false" ht="12.75" hidden="false" customHeight="false" outlineLevel="0" collapsed="false">
      <c r="B107" s="0" t="s">
        <v>588</v>
      </c>
      <c r="C107" s="0" t="s">
        <v>588</v>
      </c>
      <c r="D107" s="0" t="n">
        <v>102215</v>
      </c>
      <c r="E107" s="0" t="n">
        <v>58.17</v>
      </c>
      <c r="F107" s="0" t="n">
        <v>13.55</v>
      </c>
      <c r="G107" s="0" t="n">
        <v>-16.3</v>
      </c>
      <c r="H107" s="0" t="n">
        <v>-15.7</v>
      </c>
      <c r="I107" s="0" t="n">
        <v>-14.9</v>
      </c>
      <c r="J107" s="0" t="n">
        <v>-14.3</v>
      </c>
      <c r="K107" s="0" t="n">
        <v>-14.2</v>
      </c>
      <c r="L107" s="0" t="n">
        <v>-13.9</v>
      </c>
      <c r="M107" s="0" t="n">
        <v>-13.9</v>
      </c>
      <c r="N107" s="0" t="n">
        <v>-13.9</v>
      </c>
      <c r="O107" s="0" t="n">
        <v>-13.3</v>
      </c>
      <c r="P107" s="0" t="n">
        <v>-12.9</v>
      </c>
      <c r="Q107" s="0" t="n">
        <v>-12.5</v>
      </c>
      <c r="R107" s="0" t="n">
        <v>-12.1</v>
      </c>
      <c r="S107" s="0" t="n">
        <v>1</v>
      </c>
      <c r="T107" s="0" t="n">
        <f aca="false">VALUE(VLOOKUP(B107,FgeoVlookup,2,FALSE()))</f>
        <v>1</v>
      </c>
      <c r="U107" s="111" t="s">
        <v>588</v>
      </c>
    </row>
    <row r="108" customFormat="false" ht="12.75" hidden="false" customHeight="false" outlineLevel="0" collapsed="false">
      <c r="A108" s="0" t="s">
        <v>672</v>
      </c>
      <c r="B108" s="327" t="s">
        <v>429</v>
      </c>
      <c r="C108" s="0" t="s">
        <v>672</v>
      </c>
      <c r="D108" s="0" t="n">
        <v>102121</v>
      </c>
      <c r="E108" s="0" t="n">
        <v>55.38</v>
      </c>
      <c r="F108" s="0" t="n">
        <v>12.82</v>
      </c>
      <c r="G108" s="0" t="n">
        <v>-9.4</v>
      </c>
      <c r="H108" s="0" t="n">
        <v>-8.5</v>
      </c>
      <c r="I108" s="0" t="n">
        <v>-8.1</v>
      </c>
      <c r="J108" s="0" t="n">
        <v>-7.8</v>
      </c>
      <c r="K108" s="0" t="n">
        <v>-7.8</v>
      </c>
      <c r="L108" s="0" t="n">
        <v>-7.8</v>
      </c>
      <c r="M108" s="0" t="n">
        <v>-7.7</v>
      </c>
      <c r="N108" s="0" t="n">
        <v>-7.2</v>
      </c>
      <c r="O108" s="0" t="n">
        <v>-7.1</v>
      </c>
      <c r="P108" s="0" t="n">
        <v>-7.1</v>
      </c>
      <c r="Q108" s="0" t="n">
        <v>-7</v>
      </c>
      <c r="R108" s="0" t="n">
        <v>-6.8</v>
      </c>
      <c r="S108" s="0" t="n">
        <v>0.8</v>
      </c>
      <c r="T108" s="0" t="n">
        <f aca="false">VALUE(VLOOKUP(B108,FgeoVlookup,2,FALSE()))</f>
        <v>0.8</v>
      </c>
      <c r="U108" s="111" t="s">
        <v>429</v>
      </c>
    </row>
    <row r="109" customFormat="false" ht="12.75" hidden="false" customHeight="false" outlineLevel="0" collapsed="false">
      <c r="B109" s="0" t="s">
        <v>422</v>
      </c>
      <c r="C109" s="0" t="s">
        <v>422</v>
      </c>
      <c r="D109" s="0" t="n">
        <v>102708</v>
      </c>
      <c r="E109" s="0" t="n">
        <v>60.6</v>
      </c>
      <c r="F109" s="0" t="n">
        <v>15.67</v>
      </c>
      <c r="G109" s="0" t="n">
        <v>-21</v>
      </c>
      <c r="H109" s="0" t="n">
        <v>-20</v>
      </c>
      <c r="I109" s="0" t="n">
        <v>-19.5</v>
      </c>
      <c r="J109" s="0" t="n">
        <v>-18.8</v>
      </c>
      <c r="K109" s="0" t="n">
        <v>-18.5</v>
      </c>
      <c r="L109" s="0" t="n">
        <v>-18</v>
      </c>
      <c r="M109" s="0" t="n">
        <v>-17.9</v>
      </c>
      <c r="N109" s="0" t="n">
        <v>-17.7</v>
      </c>
      <c r="O109" s="0" t="n">
        <v>-17.2</v>
      </c>
      <c r="P109" s="0" t="n">
        <v>-17</v>
      </c>
      <c r="Q109" s="0" t="n">
        <v>-16.7</v>
      </c>
      <c r="R109" s="0" t="n">
        <v>-16.4</v>
      </c>
      <c r="S109" s="0" t="n">
        <v>1.2</v>
      </c>
      <c r="T109" s="0" t="n">
        <f aca="false">VALUE(VLOOKUP(B109,FgeoVlookup,2,FALSE()))</f>
        <v>1.2</v>
      </c>
      <c r="U109" s="316" t="s">
        <v>422</v>
      </c>
    </row>
    <row r="110" customFormat="false" ht="12.75" hidden="false" customHeight="false" outlineLevel="0" collapsed="false">
      <c r="B110" s="0" t="s">
        <v>433</v>
      </c>
      <c r="C110" s="0" t="s">
        <v>433</v>
      </c>
      <c r="D110" s="0" t="n">
        <v>102509</v>
      </c>
      <c r="E110" s="0" t="n">
        <v>59.71</v>
      </c>
      <c r="F110" s="0" t="n">
        <v>14.17</v>
      </c>
      <c r="G110" s="0" t="n">
        <v>-20.8</v>
      </c>
      <c r="H110" s="0" t="n">
        <v>-19.7</v>
      </c>
      <c r="I110" s="0" t="n">
        <v>-19.3</v>
      </c>
      <c r="J110" s="0" t="n">
        <v>-18.6</v>
      </c>
      <c r="K110" s="0" t="n">
        <v>-17.9</v>
      </c>
      <c r="L110" s="0" t="n">
        <v>-17.7</v>
      </c>
      <c r="M110" s="0" t="n">
        <v>-17.7</v>
      </c>
      <c r="N110" s="0" t="n">
        <v>-17.5</v>
      </c>
      <c r="O110" s="0" t="n">
        <v>-17.2</v>
      </c>
      <c r="P110" s="0" t="n">
        <v>-17</v>
      </c>
      <c r="Q110" s="0" t="n">
        <v>-16.8</v>
      </c>
      <c r="R110" s="0" t="n">
        <v>-16.5</v>
      </c>
      <c r="S110" s="0" t="n">
        <v>1.1</v>
      </c>
      <c r="T110" s="0" t="n">
        <f aca="false">VALUE(VLOOKUP(B110,FgeoVlookup,2,FALSE()))</f>
        <v>1.1</v>
      </c>
      <c r="U110" s="111" t="s">
        <v>433</v>
      </c>
    </row>
    <row r="111" customFormat="false" ht="12.75" hidden="false" customHeight="false" outlineLevel="0" collapsed="false">
      <c r="B111" s="0" t="s">
        <v>451</v>
      </c>
      <c r="C111" s="0" t="s">
        <v>451</v>
      </c>
      <c r="D111" s="0" t="n">
        <v>102528</v>
      </c>
      <c r="E111" s="0" t="n">
        <v>59.53</v>
      </c>
      <c r="F111" s="0" t="n">
        <v>13.47</v>
      </c>
      <c r="G111" s="0" t="n">
        <v>-20.1</v>
      </c>
      <c r="H111" s="0" t="n">
        <v>-18.8</v>
      </c>
      <c r="I111" s="0" t="n">
        <v>-18.4</v>
      </c>
      <c r="J111" s="0" t="n">
        <v>-18.1</v>
      </c>
      <c r="K111" s="0" t="n">
        <v>-17.4</v>
      </c>
      <c r="L111" s="0" t="n">
        <v>-16.9</v>
      </c>
      <c r="M111" s="0" t="n">
        <v>-16.9</v>
      </c>
      <c r="N111" s="0" t="n">
        <v>-16.9</v>
      </c>
      <c r="O111" s="0" t="n">
        <v>-16.7</v>
      </c>
      <c r="P111" s="0" t="n">
        <v>-16.5</v>
      </c>
      <c r="Q111" s="0" t="n">
        <v>-16.1</v>
      </c>
      <c r="R111" s="0" t="n">
        <v>-15.7</v>
      </c>
      <c r="S111" s="0" t="n">
        <v>1.1</v>
      </c>
      <c r="T111" s="0" t="n">
        <f aca="false">VALUE(VLOOKUP(B111,FgeoVlookup,2,FALSE()))</f>
        <v>1.1</v>
      </c>
      <c r="U111" s="111" t="s">
        <v>451</v>
      </c>
    </row>
    <row r="112" customFormat="false" ht="12.75" hidden="false" customHeight="false" outlineLevel="0" collapsed="false">
      <c r="B112" s="0" t="s">
        <v>591</v>
      </c>
      <c r="C112" s="0" t="s">
        <v>591</v>
      </c>
      <c r="D112" s="0" t="n">
        <v>102249</v>
      </c>
      <c r="E112" s="0" t="n">
        <v>58.57</v>
      </c>
      <c r="F112" s="0" t="n">
        <v>11.99</v>
      </c>
      <c r="G112" s="0" t="n">
        <v>-15</v>
      </c>
      <c r="H112" s="0" t="n">
        <v>-14.5</v>
      </c>
      <c r="I112" s="0" t="n">
        <v>-14.1</v>
      </c>
      <c r="J112" s="0" t="n">
        <v>-13.6</v>
      </c>
      <c r="K112" s="0" t="n">
        <v>-13.4</v>
      </c>
      <c r="L112" s="0" t="n">
        <v>-13.2</v>
      </c>
      <c r="M112" s="0" t="n">
        <v>-13</v>
      </c>
      <c r="N112" s="0" t="n">
        <v>-12.8</v>
      </c>
      <c r="O112" s="0" t="n">
        <v>-12.6</v>
      </c>
      <c r="P112" s="0" t="n">
        <v>-12.2</v>
      </c>
      <c r="Q112" s="0" t="n">
        <v>-12</v>
      </c>
      <c r="R112" s="0" t="n">
        <v>-11.7</v>
      </c>
      <c r="S112" s="0" t="n">
        <v>1</v>
      </c>
      <c r="T112" s="0" t="n">
        <f aca="false">VALUE(VLOOKUP(B112,FgeoVlookup,2,FALSE()))</f>
        <v>1</v>
      </c>
      <c r="U112" s="111" t="s">
        <v>591</v>
      </c>
    </row>
    <row r="113" customFormat="false" ht="12.75" hidden="false" customHeight="false" outlineLevel="0" collapsed="false">
      <c r="A113" s="0" t="s">
        <v>673</v>
      </c>
      <c r="B113" s="0" t="s">
        <v>442</v>
      </c>
      <c r="C113" s="330" t="s">
        <v>673</v>
      </c>
      <c r="D113" s="0" t="n">
        <v>102820</v>
      </c>
      <c r="E113" s="0" t="n">
        <v>63.68</v>
      </c>
      <c r="F113" s="0" t="n">
        <v>14.61</v>
      </c>
      <c r="G113" s="0" t="n">
        <v>-23</v>
      </c>
      <c r="H113" s="0" t="n">
        <v>-22.2</v>
      </c>
      <c r="I113" s="0" t="n">
        <v>-21.6</v>
      </c>
      <c r="J113" s="0" t="n">
        <v>-21.1</v>
      </c>
      <c r="K113" s="0" t="n">
        <v>-20.4</v>
      </c>
      <c r="L113" s="0" t="n">
        <v>-19.7</v>
      </c>
      <c r="M113" s="0" t="n">
        <v>-19.2</v>
      </c>
      <c r="N113" s="0" t="n">
        <v>-18.5</v>
      </c>
      <c r="O113" s="0" t="n">
        <v>-18.1</v>
      </c>
      <c r="P113" s="0" t="n">
        <v>-17.8</v>
      </c>
      <c r="Q113" s="0" t="n">
        <v>-17.6</v>
      </c>
      <c r="R113" s="0" t="n">
        <v>-17.3</v>
      </c>
      <c r="T113" s="0" t="e">
        <f aca="false">VALUE(VLOOKUP(C113,FgeoVlookup,2,FALSE()))</f>
        <v>#N/A</v>
      </c>
      <c r="U113" s="111"/>
      <c r="V113" s="0" t="s">
        <v>674</v>
      </c>
    </row>
    <row r="114" customFormat="false" ht="12.75" hidden="false" customHeight="false" outlineLevel="0" collapsed="false">
      <c r="B114" s="0" t="s">
        <v>439</v>
      </c>
      <c r="C114" s="0" t="s">
        <v>439</v>
      </c>
      <c r="D114" s="0" t="n">
        <v>102725</v>
      </c>
      <c r="E114" s="0" t="n">
        <v>60.55</v>
      </c>
      <c r="F114" s="0" t="n">
        <v>15.13</v>
      </c>
      <c r="G114" s="0" t="n">
        <v>-21.8</v>
      </c>
      <c r="H114" s="0" t="n">
        <v>-21.1</v>
      </c>
      <c r="I114" s="0" t="n">
        <v>-20.3</v>
      </c>
      <c r="J114" s="0" t="n">
        <v>-19.9</v>
      </c>
      <c r="K114" s="0" t="n">
        <v>-19.4</v>
      </c>
      <c r="L114" s="0" t="n">
        <v>-19</v>
      </c>
      <c r="M114" s="0" t="n">
        <v>-18.5</v>
      </c>
      <c r="N114" s="0" t="n">
        <v>-18.2</v>
      </c>
      <c r="O114" s="0" t="n">
        <v>-17.8</v>
      </c>
      <c r="P114" s="0" t="n">
        <v>-17.6</v>
      </c>
      <c r="Q114" s="0" t="n">
        <v>-17.2</v>
      </c>
      <c r="R114" s="0" t="n">
        <v>-16.9</v>
      </c>
      <c r="S114" s="0" t="n">
        <v>1.2</v>
      </c>
      <c r="T114" s="0" t="n">
        <f aca="false">VALUE(VLOOKUP(B114,FgeoVlookup,2,FALSE()))</f>
        <v>1.2</v>
      </c>
      <c r="U114" s="316" t="s">
        <v>439</v>
      </c>
    </row>
    <row r="115" customFormat="false" ht="12.75" hidden="false" customHeight="false" outlineLevel="0" collapsed="false">
      <c r="B115" s="0" t="s">
        <v>368</v>
      </c>
      <c r="C115" s="0" t="s">
        <v>368</v>
      </c>
      <c r="D115" s="0" t="n">
        <v>102317</v>
      </c>
      <c r="E115" s="0" t="n">
        <v>57.3</v>
      </c>
      <c r="F115" s="0" t="n">
        <v>13.55</v>
      </c>
      <c r="G115" s="0" t="n">
        <v>-15.6</v>
      </c>
      <c r="H115" s="0" t="n">
        <v>-14.4</v>
      </c>
      <c r="I115" s="0" t="n">
        <v>-13.8</v>
      </c>
      <c r="J115" s="0" t="n">
        <v>-13.4</v>
      </c>
      <c r="K115" s="0" t="n">
        <v>-12.9</v>
      </c>
      <c r="L115" s="0" t="n">
        <v>-12.8</v>
      </c>
      <c r="M115" s="0" t="n">
        <v>-12.8</v>
      </c>
      <c r="N115" s="0" t="n">
        <v>-12.8</v>
      </c>
      <c r="O115" s="0" t="n">
        <v>-12.4</v>
      </c>
      <c r="P115" s="0" t="n">
        <v>-12.1</v>
      </c>
      <c r="Q115" s="0" t="n">
        <v>-11.8</v>
      </c>
      <c r="R115" s="0" t="n">
        <v>-11.7</v>
      </c>
      <c r="S115" s="0" t="n">
        <v>1</v>
      </c>
      <c r="T115" s="0" t="n">
        <f aca="false">VALUE(VLOOKUP(B115,FgeoVlookup,2,FALSE()))</f>
        <v>1</v>
      </c>
      <c r="U115" s="111" t="s">
        <v>368</v>
      </c>
    </row>
    <row r="116" customFormat="false" ht="12.75" hidden="false" customHeight="false" outlineLevel="0" collapsed="false">
      <c r="B116" s="0" t="s">
        <v>388</v>
      </c>
      <c r="C116" s="0" t="s">
        <v>388</v>
      </c>
      <c r="D116" s="0" t="n">
        <v>102344</v>
      </c>
      <c r="E116" s="0" t="n">
        <v>57.36</v>
      </c>
      <c r="F116" s="0" t="n">
        <v>13.73</v>
      </c>
      <c r="G116" s="0" t="n">
        <v>-16.1</v>
      </c>
      <c r="H116" s="0" t="n">
        <v>-14.9</v>
      </c>
      <c r="I116" s="0" t="n">
        <v>-14.2</v>
      </c>
      <c r="J116" s="0" t="n">
        <v>-13.7</v>
      </c>
      <c r="K116" s="0" t="n">
        <v>-13.1</v>
      </c>
      <c r="L116" s="0" t="n">
        <v>-13.1</v>
      </c>
      <c r="M116" s="0" t="n">
        <v>-13.1</v>
      </c>
      <c r="N116" s="0" t="n">
        <v>-13.1</v>
      </c>
      <c r="O116" s="0" t="n">
        <v>-12.7</v>
      </c>
      <c r="P116" s="0" t="n">
        <v>-12.4</v>
      </c>
      <c r="Q116" s="0" t="n">
        <v>-12</v>
      </c>
      <c r="R116" s="0" t="n">
        <v>-11.8</v>
      </c>
      <c r="S116" s="0" t="n">
        <v>1</v>
      </c>
      <c r="T116" s="0" t="n">
        <f aca="false">VALUE(VLOOKUP(B116,FgeoVlookup,2,FALSE()))</f>
        <v>1</v>
      </c>
      <c r="U116" s="111" t="s">
        <v>388</v>
      </c>
    </row>
    <row r="117" customFormat="false" ht="12.75" hidden="false" customHeight="false" outlineLevel="0" collapsed="false">
      <c r="B117" s="224" t="s">
        <v>355</v>
      </c>
      <c r="C117" s="0" t="s">
        <v>355</v>
      </c>
      <c r="D117" s="0" t="n">
        <v>102535</v>
      </c>
      <c r="E117" s="0" t="n">
        <v>59.35</v>
      </c>
      <c r="F117" s="0" t="n">
        <v>13.1</v>
      </c>
      <c r="G117" s="0" t="n">
        <v>-19.1</v>
      </c>
      <c r="H117" s="0" t="n">
        <v>-17.9</v>
      </c>
      <c r="I117" s="0" t="n">
        <v>-17.8</v>
      </c>
      <c r="J117" s="0" t="n">
        <v>-17.1</v>
      </c>
      <c r="K117" s="0" t="n">
        <v>-16.5</v>
      </c>
      <c r="L117" s="0" t="n">
        <v>-16.3</v>
      </c>
      <c r="M117" s="0" t="n">
        <v>-16.2</v>
      </c>
      <c r="N117" s="0" t="n">
        <v>-16.2</v>
      </c>
      <c r="O117" s="0" t="n">
        <v>-15.7</v>
      </c>
      <c r="P117" s="0" t="n">
        <v>-15.4</v>
      </c>
      <c r="Q117" s="0" t="n">
        <v>-15.2</v>
      </c>
      <c r="R117" s="0" t="n">
        <v>-14.8</v>
      </c>
      <c r="S117" s="0" t="n">
        <v>1</v>
      </c>
      <c r="T117" s="0" t="n">
        <f aca="false">VALUE(VLOOKUP(B117,FgeoVlookup,2,FALSE()))</f>
        <v>1</v>
      </c>
      <c r="U117" s="111" t="s">
        <v>355</v>
      </c>
      <c r="V117" s="188"/>
    </row>
    <row r="118" customFormat="false" ht="12.75" hidden="false" customHeight="false" outlineLevel="0" collapsed="false">
      <c r="B118" s="0" t="s">
        <v>594</v>
      </c>
      <c r="C118" s="0" t="s">
        <v>594</v>
      </c>
      <c r="D118" s="0" t="n">
        <v>102248</v>
      </c>
      <c r="E118" s="0" t="n">
        <v>58.33</v>
      </c>
      <c r="F118" s="0" t="n">
        <v>12.67</v>
      </c>
      <c r="G118" s="0" t="n">
        <v>-15.3</v>
      </c>
      <c r="H118" s="0" t="n">
        <v>-14.7</v>
      </c>
      <c r="I118" s="0" t="n">
        <v>-13.8</v>
      </c>
      <c r="J118" s="0" t="n">
        <v>-13.7</v>
      </c>
      <c r="K118" s="0" t="n">
        <v>-13.3</v>
      </c>
      <c r="L118" s="0" t="n">
        <v>-12.9</v>
      </c>
      <c r="M118" s="0" t="n">
        <v>-12.9</v>
      </c>
      <c r="N118" s="0" t="n">
        <v>-12.9</v>
      </c>
      <c r="O118" s="0" t="n">
        <v>-12.4</v>
      </c>
      <c r="P118" s="0" t="n">
        <v>-12</v>
      </c>
      <c r="Q118" s="0" t="n">
        <v>-11.6</v>
      </c>
      <c r="R118" s="0" t="n">
        <v>-11.3</v>
      </c>
      <c r="S118" s="0" t="n">
        <v>1</v>
      </c>
      <c r="T118" s="0" t="n">
        <f aca="false">VALUE(VLOOKUP(B118,FgeoVlookup,2,FALSE()))</f>
        <v>1</v>
      </c>
      <c r="U118" s="111" t="s">
        <v>594</v>
      </c>
    </row>
    <row r="119" customFormat="false" ht="12.75" hidden="false" customHeight="false" outlineLevel="0" collapsed="false">
      <c r="B119" s="0" t="s">
        <v>543</v>
      </c>
      <c r="C119" s="0" t="s">
        <v>543</v>
      </c>
      <c r="D119" s="0" t="n">
        <v>102012</v>
      </c>
      <c r="E119" s="0" t="n">
        <v>67.14</v>
      </c>
      <c r="F119" s="0" t="n">
        <v>20.66</v>
      </c>
      <c r="G119" s="0" t="n">
        <v>-29.3</v>
      </c>
      <c r="H119" s="0" t="n">
        <v>-28.4</v>
      </c>
      <c r="I119" s="0" t="n">
        <v>-27.9</v>
      </c>
      <c r="J119" s="0" t="n">
        <v>-26.9</v>
      </c>
      <c r="K119" s="0" t="n">
        <v>-26.1</v>
      </c>
      <c r="L119" s="0" t="n">
        <v>-25.7</v>
      </c>
      <c r="M119" s="0" t="n">
        <v>-25.3</v>
      </c>
      <c r="N119" s="0" t="n">
        <v>-24.7</v>
      </c>
      <c r="O119" s="0" t="n">
        <v>-24</v>
      </c>
      <c r="P119" s="0" t="n">
        <v>-23.7</v>
      </c>
      <c r="Q119" s="0" t="n">
        <v>-23.7</v>
      </c>
      <c r="R119" s="0" t="n">
        <v>-23.7</v>
      </c>
      <c r="S119" s="0" t="n">
        <v>1.9</v>
      </c>
      <c r="T119" s="0" t="n">
        <f aca="false">VALUE(VLOOKUP(B119,FgeoVlookup,2,FALSE()))</f>
        <v>1.9</v>
      </c>
      <c r="U119" s="111" t="s">
        <v>543</v>
      </c>
    </row>
    <row r="120" customFormat="false" ht="12.75" hidden="false" customHeight="false" outlineLevel="0" collapsed="false">
      <c r="B120" s="0" t="s">
        <v>344</v>
      </c>
      <c r="C120" s="0" t="s">
        <v>344</v>
      </c>
      <c r="D120" s="0" t="n">
        <v>102711</v>
      </c>
      <c r="E120" s="0" t="n">
        <v>60.68</v>
      </c>
      <c r="F120" s="0" t="n">
        <v>17.18</v>
      </c>
      <c r="G120" s="0" t="n">
        <v>-17.2</v>
      </c>
      <c r="H120" s="0" t="n">
        <v>-16.8</v>
      </c>
      <c r="I120" s="0" t="n">
        <v>-16</v>
      </c>
      <c r="J120" s="0" t="n">
        <v>-15.2</v>
      </c>
      <c r="K120" s="0" t="n">
        <v>-15.1</v>
      </c>
      <c r="L120" s="0" t="n">
        <v>-15</v>
      </c>
      <c r="M120" s="0" t="n">
        <v>-14.5</v>
      </c>
      <c r="N120" s="0" t="n">
        <v>-14.5</v>
      </c>
      <c r="O120" s="0" t="n">
        <v>-14.4</v>
      </c>
      <c r="P120" s="0" t="n">
        <v>-14.1</v>
      </c>
      <c r="Q120" s="0" t="n">
        <v>-13.9</v>
      </c>
      <c r="R120" s="0" t="n">
        <v>-13.8</v>
      </c>
      <c r="S120" s="0" t="n">
        <v>1.1</v>
      </c>
      <c r="T120" s="0" t="n">
        <f aca="false">VALUE(VLOOKUP(B120,FgeoVlookup,2,FALSE()))</f>
        <v>1.1</v>
      </c>
      <c r="U120" s="316" t="s">
        <v>344</v>
      </c>
    </row>
    <row r="121" customFormat="false" ht="12.75" hidden="false" customHeight="false" outlineLevel="0" collapsed="false">
      <c r="B121" s="0" t="s">
        <v>359</v>
      </c>
      <c r="C121" s="0" t="s">
        <v>359</v>
      </c>
      <c r="D121" s="0" t="n">
        <v>102201</v>
      </c>
      <c r="E121" s="0" t="n">
        <v>57.67</v>
      </c>
      <c r="F121" s="0" t="n">
        <v>11.96</v>
      </c>
      <c r="G121" s="0" t="n">
        <v>-12.3</v>
      </c>
      <c r="H121" s="0" t="n">
        <v>-11.9</v>
      </c>
      <c r="I121" s="0" t="n">
        <v>-11.2</v>
      </c>
      <c r="J121" s="0" t="n">
        <v>-10.9</v>
      </c>
      <c r="K121" s="0" t="n">
        <v>-10.8</v>
      </c>
      <c r="L121" s="0" t="n">
        <v>-10.8</v>
      </c>
      <c r="M121" s="0" t="n">
        <v>-10.6</v>
      </c>
      <c r="N121" s="0" t="n">
        <v>-10.5</v>
      </c>
      <c r="O121" s="0" t="n">
        <v>-10.4</v>
      </c>
      <c r="P121" s="0" t="n">
        <v>-10</v>
      </c>
      <c r="Q121" s="0" t="n">
        <v>-9.9</v>
      </c>
      <c r="R121" s="0" t="n">
        <v>-9.7</v>
      </c>
      <c r="S121" s="0" t="n">
        <v>0.9</v>
      </c>
      <c r="T121" s="0" t="n">
        <f aca="false">VALUE(VLOOKUP(B121,FgeoVlookup,2,FALSE()))</f>
        <v>0.9</v>
      </c>
      <c r="U121" s="111" t="s">
        <v>359</v>
      </c>
    </row>
    <row r="122" customFormat="false" ht="12.75" hidden="false" customHeight="false" outlineLevel="0" collapsed="false">
      <c r="B122" s="0" t="s">
        <v>601</v>
      </c>
      <c r="C122" s="0" t="s">
        <v>601</v>
      </c>
      <c r="D122" s="0" t="n">
        <v>102519</v>
      </c>
      <c r="E122" s="0" t="n">
        <v>58.53</v>
      </c>
      <c r="F122" s="0" t="n">
        <v>13.49</v>
      </c>
      <c r="G122" s="0" t="n">
        <v>-15.1</v>
      </c>
      <c r="H122" s="0" t="n">
        <v>-14.7</v>
      </c>
      <c r="I122" s="0" t="n">
        <v>-13.6</v>
      </c>
      <c r="J122" s="0" t="n">
        <v>-13.1</v>
      </c>
      <c r="K122" s="0" t="n">
        <v>-13.1</v>
      </c>
      <c r="L122" s="0" t="n">
        <v>-13</v>
      </c>
      <c r="M122" s="0" t="n">
        <v>-12.8</v>
      </c>
      <c r="N122" s="0" t="n">
        <v>-12.7</v>
      </c>
      <c r="O122" s="0" t="n">
        <v>-12.2</v>
      </c>
      <c r="P122" s="0" t="n">
        <v>-11.8</v>
      </c>
      <c r="Q122" s="0" t="n">
        <v>-11.4</v>
      </c>
      <c r="R122" s="0" t="n">
        <v>-11</v>
      </c>
      <c r="S122" s="0" t="n">
        <v>1</v>
      </c>
      <c r="T122" s="0" t="n">
        <f aca="false">VALUE(VLOOKUP(B122,FgeoVlookup,2,FALSE()))</f>
        <v>1</v>
      </c>
      <c r="U122" s="111" t="s">
        <v>601</v>
      </c>
    </row>
    <row r="123" customFormat="false" ht="12.75" hidden="false" customHeight="false" outlineLevel="0" collapsed="false">
      <c r="B123" s="0" t="s">
        <v>407</v>
      </c>
      <c r="C123" s="0" t="s">
        <v>407</v>
      </c>
      <c r="D123" s="0" t="n">
        <v>102345</v>
      </c>
      <c r="E123" s="0" t="n">
        <v>57.91</v>
      </c>
      <c r="F123" s="0" t="n">
        <v>14.08</v>
      </c>
      <c r="G123" s="0" t="n">
        <v>-15.7</v>
      </c>
      <c r="H123" s="0" t="n">
        <v>-15.1</v>
      </c>
      <c r="I123" s="0" t="n">
        <v>-14.5</v>
      </c>
      <c r="J123" s="0" t="n">
        <v>-14.1</v>
      </c>
      <c r="K123" s="0" t="n">
        <v>-13.7</v>
      </c>
      <c r="L123" s="0" t="n">
        <v>-13.4</v>
      </c>
      <c r="M123" s="0" t="n">
        <v>-13.2</v>
      </c>
      <c r="N123" s="0" t="n">
        <v>-13</v>
      </c>
      <c r="O123" s="0" t="n">
        <v>-12.6</v>
      </c>
      <c r="P123" s="0" t="n">
        <v>-12.3</v>
      </c>
      <c r="Q123" s="0" t="n">
        <v>-12.1</v>
      </c>
      <c r="R123" s="0" t="n">
        <v>-11.6</v>
      </c>
      <c r="S123" s="0" t="n">
        <v>1</v>
      </c>
      <c r="T123" s="0" t="n">
        <f aca="false">VALUE(VLOOKUP(B123,FgeoVlookup,2,FALSE()))</f>
        <v>1</v>
      </c>
      <c r="U123" s="111" t="s">
        <v>407</v>
      </c>
    </row>
    <row r="124" customFormat="false" ht="12.75" hidden="false" customHeight="false" outlineLevel="0" collapsed="false">
      <c r="B124" s="0" t="s">
        <v>560</v>
      </c>
      <c r="C124" s="0" t="s">
        <v>560</v>
      </c>
      <c r="D124" s="0" t="n">
        <v>102506</v>
      </c>
      <c r="E124" s="0" t="n">
        <v>60.03</v>
      </c>
      <c r="F124" s="0" t="n">
        <v>13.69</v>
      </c>
      <c r="G124" s="0" t="n">
        <v>-23.2</v>
      </c>
      <c r="H124" s="0" t="n">
        <v>-22.5</v>
      </c>
      <c r="I124" s="0" t="n">
        <v>-21.7</v>
      </c>
      <c r="J124" s="0" t="n">
        <v>-21.2</v>
      </c>
      <c r="K124" s="0" t="n">
        <v>-20.8</v>
      </c>
      <c r="L124" s="0" t="n">
        <v>-20.4</v>
      </c>
      <c r="M124" s="0" t="n">
        <v>-20.1</v>
      </c>
      <c r="N124" s="0" t="n">
        <v>-19.9</v>
      </c>
      <c r="O124" s="0" t="n">
        <v>-19.6</v>
      </c>
      <c r="P124" s="0" t="n">
        <v>-19.6</v>
      </c>
      <c r="Q124" s="0" t="n">
        <v>-19.2</v>
      </c>
      <c r="R124" s="0" t="n">
        <v>-19</v>
      </c>
      <c r="S124" s="0" t="n">
        <v>1.2</v>
      </c>
      <c r="T124" s="0" t="n">
        <f aca="false">VALUE(VLOOKUP(B124,FgeoVlookup,2,FALSE()))</f>
        <v>1.2</v>
      </c>
      <c r="U124" s="111" t="s">
        <v>560</v>
      </c>
    </row>
    <row r="125" customFormat="false" ht="12.75" hidden="false" customHeight="false" outlineLevel="0" collapsed="false">
      <c r="B125" s="0" t="s">
        <v>360</v>
      </c>
      <c r="C125" s="0" t="s">
        <v>360</v>
      </c>
      <c r="D125" s="0" t="n">
        <v>102530</v>
      </c>
      <c r="E125" s="0" t="n">
        <v>59.07</v>
      </c>
      <c r="F125" s="0" t="n">
        <v>15.12</v>
      </c>
      <c r="G125" s="0" t="n">
        <v>-17.5</v>
      </c>
      <c r="H125" s="0" t="n">
        <v>-16.7</v>
      </c>
      <c r="I125" s="0" t="n">
        <v>-15.8</v>
      </c>
      <c r="J125" s="0" t="n">
        <v>-15.3</v>
      </c>
      <c r="K125" s="0" t="n">
        <v>-15</v>
      </c>
      <c r="L125" s="0" t="n">
        <v>-14.5</v>
      </c>
      <c r="M125" s="0" t="n">
        <v>-14.5</v>
      </c>
      <c r="N125" s="0" t="n">
        <v>-14.3</v>
      </c>
      <c r="O125" s="0" t="n">
        <v>-13.9</v>
      </c>
      <c r="P125" s="0" t="n">
        <v>-13.5</v>
      </c>
      <c r="Q125" s="0" t="n">
        <v>-13.1</v>
      </c>
      <c r="R125" s="0" t="n">
        <v>-13</v>
      </c>
      <c r="S125" s="0" t="n">
        <v>1</v>
      </c>
      <c r="T125" s="0" t="n">
        <f aca="false">VALUE(VLOOKUP(B125,FgeoVlookup,2,FALSE()))</f>
        <v>1</v>
      </c>
      <c r="U125" s="111" t="s">
        <v>360</v>
      </c>
    </row>
    <row r="126" customFormat="false" ht="12.75" hidden="false" customHeight="false" outlineLevel="0" collapsed="false">
      <c r="B126" s="0" t="s">
        <v>379</v>
      </c>
      <c r="C126" s="0" t="s">
        <v>379</v>
      </c>
      <c r="D126" s="0" t="n">
        <v>102634</v>
      </c>
      <c r="E126" s="0" t="n">
        <v>59.61</v>
      </c>
      <c r="F126" s="0" t="n">
        <v>16.23</v>
      </c>
      <c r="G126" s="0" t="n">
        <v>-18.7</v>
      </c>
      <c r="H126" s="0" t="n">
        <v>-18.1</v>
      </c>
      <c r="I126" s="0" t="n">
        <v>-17.5</v>
      </c>
      <c r="J126" s="0" t="n">
        <v>-16.8</v>
      </c>
      <c r="K126" s="0" t="n">
        <v>-16.3</v>
      </c>
      <c r="L126" s="0" t="n">
        <v>-16.1</v>
      </c>
      <c r="M126" s="0" t="n">
        <v>-15.8</v>
      </c>
      <c r="N126" s="0" t="n">
        <v>-15.6</v>
      </c>
      <c r="O126" s="0" t="n">
        <v>-15.3</v>
      </c>
      <c r="P126" s="0" t="n">
        <v>-15.2</v>
      </c>
      <c r="Q126" s="0" t="n">
        <v>-14.9</v>
      </c>
      <c r="R126" s="0" t="n">
        <v>-14.7</v>
      </c>
      <c r="S126" s="0" t="n">
        <v>1</v>
      </c>
      <c r="T126" s="0" t="n">
        <f aca="false">VALUE(VLOOKUP(B126,FgeoVlookup,2,FALSE()))</f>
        <v>1</v>
      </c>
      <c r="U126" s="111" t="s">
        <v>379</v>
      </c>
    </row>
    <row r="127" customFormat="false" ht="12.75" hidden="false" customHeight="false" outlineLevel="0" collapsed="false">
      <c r="A127" s="0" t="s">
        <v>675</v>
      </c>
      <c r="B127" s="327" t="s">
        <v>387</v>
      </c>
      <c r="C127" s="0" t="s">
        <v>675</v>
      </c>
      <c r="D127" s="0" t="n">
        <v>102811</v>
      </c>
      <c r="E127" s="0" t="n">
        <v>63.11</v>
      </c>
      <c r="F127" s="0" t="n">
        <v>16.36</v>
      </c>
      <c r="G127" s="0" t="n">
        <v>-27.1</v>
      </c>
      <c r="H127" s="0" t="n">
        <v>-26.3</v>
      </c>
      <c r="I127" s="0" t="n">
        <v>-25.9</v>
      </c>
      <c r="J127" s="0" t="n">
        <v>-24.4</v>
      </c>
      <c r="K127" s="0" t="n">
        <v>-23.7</v>
      </c>
      <c r="L127" s="0" t="n">
        <v>-22.7</v>
      </c>
      <c r="M127" s="0" t="n">
        <v>-22</v>
      </c>
      <c r="N127" s="0" t="n">
        <v>-21.6</v>
      </c>
      <c r="O127" s="0" t="n">
        <v>-21.3</v>
      </c>
      <c r="P127" s="0" t="n">
        <v>-21</v>
      </c>
      <c r="Q127" s="0" t="n">
        <v>-20.7</v>
      </c>
      <c r="R127" s="0" t="n">
        <v>-20.5</v>
      </c>
      <c r="S127" s="0" t="n">
        <v>1.4</v>
      </c>
      <c r="T127" s="0" t="n">
        <f aca="false">VALUE(VLOOKUP(B127,FgeoVlookup,2,FALSE()))</f>
        <v>1.4</v>
      </c>
      <c r="U127" s="111" t="s">
        <v>387</v>
      </c>
    </row>
    <row r="128" customFormat="false" ht="12.75" hidden="false" customHeight="false" outlineLevel="0" collapsed="false">
      <c r="B128" s="0" t="s">
        <v>470</v>
      </c>
      <c r="C128" s="0" t="s">
        <v>470</v>
      </c>
      <c r="D128" s="0" t="n">
        <v>102525</v>
      </c>
      <c r="E128" s="0" t="n">
        <v>59.33</v>
      </c>
      <c r="F128" s="0" t="n">
        <v>13.43</v>
      </c>
      <c r="G128" s="0" t="n">
        <v>-18.7</v>
      </c>
      <c r="H128" s="0" t="n">
        <v>-17.6</v>
      </c>
      <c r="I128" s="0" t="n">
        <v>-17.2</v>
      </c>
      <c r="J128" s="0" t="n">
        <v>-16.8</v>
      </c>
      <c r="K128" s="0" t="n">
        <v>-16.2</v>
      </c>
      <c r="L128" s="0" t="n">
        <v>-15.9</v>
      </c>
      <c r="M128" s="0" t="n">
        <v>-15.8</v>
      </c>
      <c r="N128" s="0" t="n">
        <v>-15.8</v>
      </c>
      <c r="O128" s="0" t="n">
        <v>-15.5</v>
      </c>
      <c r="P128" s="0" t="n">
        <v>-15.2</v>
      </c>
      <c r="Q128" s="0" t="n">
        <v>-14.9</v>
      </c>
      <c r="R128" s="0" t="n">
        <v>-14.5</v>
      </c>
      <c r="S128" s="0" t="n">
        <v>1.1</v>
      </c>
      <c r="T128" s="0" t="n">
        <f aca="false">VALUE(VLOOKUP(B128,FgeoVlookup,2,FALSE()))</f>
        <v>1.1</v>
      </c>
      <c r="U128" s="111" t="s">
        <v>470</v>
      </c>
    </row>
    <row r="129" customFormat="false" ht="12.75" hidden="false" customHeight="false" outlineLevel="0" collapsed="false">
      <c r="B129" s="0" t="s">
        <v>390</v>
      </c>
      <c r="C129" s="0" t="s">
        <v>390</v>
      </c>
      <c r="D129" s="0" t="n">
        <v>102010</v>
      </c>
      <c r="E129" s="0" t="n">
        <v>65.83</v>
      </c>
      <c r="F129" s="0" t="n">
        <v>24.13</v>
      </c>
      <c r="G129" s="0" t="n">
        <v>-27</v>
      </c>
      <c r="H129" s="0" t="n">
        <v>-26.5</v>
      </c>
      <c r="I129" s="0" t="n">
        <v>-25.8</v>
      </c>
      <c r="J129" s="0" t="n">
        <v>-25.1</v>
      </c>
      <c r="K129" s="0" t="n">
        <v>-24.5</v>
      </c>
      <c r="L129" s="0" t="n">
        <v>-23.9</v>
      </c>
      <c r="M129" s="0" t="n">
        <v>-23.7</v>
      </c>
      <c r="N129" s="0" t="n">
        <v>-23.3</v>
      </c>
      <c r="O129" s="0" t="n">
        <v>-23.2</v>
      </c>
      <c r="P129" s="0" t="n">
        <v>-23</v>
      </c>
      <c r="Q129" s="0" t="n">
        <v>-22.8</v>
      </c>
      <c r="R129" s="0" t="n">
        <v>-22.4</v>
      </c>
      <c r="S129" s="0" t="n">
        <v>1.5</v>
      </c>
      <c r="T129" s="0" t="n">
        <f aca="false">VALUE(VLOOKUP(B129,FgeoVlookup,2,FALSE()))</f>
        <v>1.5</v>
      </c>
      <c r="U129" s="111" t="s">
        <v>390</v>
      </c>
    </row>
    <row r="130" customFormat="false" ht="12.75" hidden="false" customHeight="false" outlineLevel="0" collapsed="false">
      <c r="A130" s="0" t="s">
        <v>676</v>
      </c>
      <c r="B130" s="327" t="s">
        <v>432</v>
      </c>
      <c r="C130" s="0" t="s">
        <v>676</v>
      </c>
      <c r="D130" s="0" t="n">
        <v>102801</v>
      </c>
      <c r="E130" s="0" t="n">
        <v>62.42</v>
      </c>
      <c r="F130" s="0" t="n">
        <v>13.5</v>
      </c>
      <c r="G130" s="0" t="n">
        <v>-28.5</v>
      </c>
      <c r="H130" s="0" t="n">
        <v>-28.1</v>
      </c>
      <c r="I130" s="0" t="n">
        <v>-26.8</v>
      </c>
      <c r="J130" s="0" t="n">
        <v>-25.9</v>
      </c>
      <c r="K130" s="0" t="n">
        <v>-25</v>
      </c>
      <c r="L130" s="0" t="n">
        <v>-24.4</v>
      </c>
      <c r="M130" s="0" t="n">
        <v>-23.7</v>
      </c>
      <c r="N130" s="0" t="n">
        <v>-23</v>
      </c>
      <c r="O130" s="0" t="n">
        <v>-22.8</v>
      </c>
      <c r="P130" s="0" t="n">
        <v>-22.1</v>
      </c>
      <c r="Q130" s="0" t="n">
        <v>-22.1</v>
      </c>
      <c r="R130" s="0" t="n">
        <v>-21.8</v>
      </c>
      <c r="S130" s="0" t="n">
        <v>1.1</v>
      </c>
      <c r="T130" s="0" t="n">
        <f aca="false">VALUE(VLOOKUP(B130,FgeoVlookup,2,FALSE()))</f>
        <v>1.1</v>
      </c>
      <c r="U130" s="111" t="s">
        <v>432</v>
      </c>
    </row>
    <row r="131" customFormat="false" ht="12.75" hidden="false" customHeight="false" outlineLevel="0" collapsed="false">
      <c r="B131" s="0" t="s">
        <v>363</v>
      </c>
      <c r="C131" s="0" t="s">
        <v>363</v>
      </c>
      <c r="D131" s="0" t="n">
        <v>102722</v>
      </c>
      <c r="E131" s="0" t="n">
        <v>60.28</v>
      </c>
      <c r="F131" s="0" t="n">
        <v>15.99</v>
      </c>
      <c r="G131" s="0" t="n">
        <v>-19.7</v>
      </c>
      <c r="H131" s="0" t="n">
        <v>-18.8</v>
      </c>
      <c r="I131" s="0" t="n">
        <v>-18.1</v>
      </c>
      <c r="J131" s="0" t="n">
        <v>-17.4</v>
      </c>
      <c r="K131" s="0" t="n">
        <v>-17.1</v>
      </c>
      <c r="L131" s="0" t="n">
        <v>-16.7</v>
      </c>
      <c r="M131" s="0" t="n">
        <v>-16.6</v>
      </c>
      <c r="N131" s="0" t="n">
        <v>-16.2</v>
      </c>
      <c r="O131" s="0" t="n">
        <v>-16.2</v>
      </c>
      <c r="P131" s="0" t="n">
        <v>-15.9</v>
      </c>
      <c r="Q131" s="0" t="n">
        <v>-15.7</v>
      </c>
      <c r="R131" s="0" t="n">
        <v>-15.4</v>
      </c>
      <c r="S131" s="0" t="n">
        <v>1.1</v>
      </c>
      <c r="T131" s="0" t="n">
        <f aca="false">VALUE(VLOOKUP(B131,FgeoVlookup,2,FALSE()))</f>
        <v>1.1</v>
      </c>
      <c r="U131" s="316" t="s">
        <v>363</v>
      </c>
    </row>
    <row r="132" customFormat="false" ht="12.75" hidden="false" customHeight="false" outlineLevel="0" collapsed="false">
      <c r="B132" s="0" t="s">
        <v>523</v>
      </c>
      <c r="C132" s="0" t="s">
        <v>523</v>
      </c>
      <c r="D132" s="0" t="n">
        <v>102109</v>
      </c>
      <c r="E132" s="0" t="n">
        <v>56.03</v>
      </c>
      <c r="F132" s="0" t="n">
        <v>12.73</v>
      </c>
      <c r="G132" s="0" t="n">
        <v>-10.4</v>
      </c>
      <c r="H132" s="0" t="n">
        <v>-9.6</v>
      </c>
      <c r="I132" s="0" t="n">
        <v>-8.9</v>
      </c>
      <c r="J132" s="0" t="n">
        <v>-8.9</v>
      </c>
      <c r="K132" s="0" t="n">
        <v>-8.7</v>
      </c>
      <c r="L132" s="0" t="n">
        <v>-8.4</v>
      </c>
      <c r="M132" s="0" t="n">
        <v>-8.4</v>
      </c>
      <c r="N132" s="0" t="n">
        <v>-8.2</v>
      </c>
      <c r="O132" s="0" t="n">
        <v>-8</v>
      </c>
      <c r="P132" s="0" t="n">
        <v>-7.8</v>
      </c>
      <c r="Q132" s="0" t="n">
        <v>-7.6</v>
      </c>
      <c r="R132" s="0" t="n">
        <v>-7.4</v>
      </c>
      <c r="S132" s="0" t="n">
        <v>0.9</v>
      </c>
      <c r="T132" s="0" t="n">
        <f aca="false">VALUE(VLOOKUP(B132,FgeoVlookup,2,FALSE()))</f>
        <v>0.9</v>
      </c>
      <c r="U132" s="111" t="s">
        <v>523</v>
      </c>
    </row>
    <row r="133" customFormat="false" ht="12.75" hidden="false" customHeight="false" outlineLevel="0" collapsed="false">
      <c r="B133" s="0" t="s">
        <v>605</v>
      </c>
      <c r="C133" s="0" t="s">
        <v>605</v>
      </c>
      <c r="D133" s="0" t="n">
        <v>102232</v>
      </c>
      <c r="E133" s="0" t="n">
        <v>58.08</v>
      </c>
      <c r="F133" s="0" t="n">
        <v>13.03</v>
      </c>
      <c r="G133" s="0" t="n">
        <v>-15.8</v>
      </c>
      <c r="H133" s="0" t="n">
        <v>-15.4</v>
      </c>
      <c r="I133" s="0" t="n">
        <v>-14.3</v>
      </c>
      <c r="J133" s="0" t="n">
        <v>-14.2</v>
      </c>
      <c r="K133" s="0" t="n">
        <v>-13.9</v>
      </c>
      <c r="L133" s="0" t="n">
        <v>-13.6</v>
      </c>
      <c r="M133" s="0" t="n">
        <v>-13.5</v>
      </c>
      <c r="N133" s="0" t="n">
        <v>-13.4</v>
      </c>
      <c r="O133" s="0" t="n">
        <v>-12.8</v>
      </c>
      <c r="P133" s="0" t="n">
        <v>-12.4</v>
      </c>
      <c r="Q133" s="0" t="n">
        <v>-12.2</v>
      </c>
      <c r="R133" s="0" t="n">
        <v>-11.6</v>
      </c>
      <c r="S133" s="0" t="n">
        <v>1</v>
      </c>
      <c r="T133" s="0" t="n">
        <f aca="false">VALUE(VLOOKUP(B133,FgeoVlookup,2,FALSE()))</f>
        <v>1</v>
      </c>
      <c r="U133" s="111" t="s">
        <v>605</v>
      </c>
    </row>
    <row r="134" customFormat="false" ht="12.75" hidden="false" customHeight="false" outlineLevel="0" collapsed="false">
      <c r="B134" s="0" t="s">
        <v>607</v>
      </c>
      <c r="C134" s="0" t="s">
        <v>607</v>
      </c>
      <c r="D134" s="0" t="n">
        <v>102217</v>
      </c>
      <c r="E134" s="0" t="n">
        <v>58.3</v>
      </c>
      <c r="F134" s="0" t="n">
        <v>14.28</v>
      </c>
      <c r="G134" s="0" t="n">
        <v>-14.8</v>
      </c>
      <c r="H134" s="0" t="n">
        <v>-14.3</v>
      </c>
      <c r="I134" s="0" t="n">
        <v>-13.5</v>
      </c>
      <c r="J134" s="0" t="n">
        <v>-12.7</v>
      </c>
      <c r="K134" s="0" t="n">
        <v>-12.7</v>
      </c>
      <c r="L134" s="0" t="n">
        <v>-12.3</v>
      </c>
      <c r="M134" s="0" t="n">
        <v>-12.3</v>
      </c>
      <c r="N134" s="0" t="n">
        <v>-12.3</v>
      </c>
      <c r="O134" s="0" t="n">
        <v>-11.9</v>
      </c>
      <c r="P134" s="0" t="n">
        <v>-11.5</v>
      </c>
      <c r="Q134" s="0" t="n">
        <v>-11.1</v>
      </c>
      <c r="R134" s="0" t="n">
        <v>-10.7</v>
      </c>
      <c r="S134" s="0" t="n">
        <v>1</v>
      </c>
      <c r="T134" s="0" t="n">
        <f aca="false">VALUE(VLOOKUP(B134,FgeoVlookup,2,FALSE()))</f>
        <v>1</v>
      </c>
      <c r="U134" s="111" t="s">
        <v>607</v>
      </c>
    </row>
    <row r="135" customFormat="false" ht="12.75" hidden="false" customHeight="false" outlineLevel="0" collapsed="false">
      <c r="B135" s="0" t="s">
        <v>423</v>
      </c>
      <c r="C135" s="0" t="s">
        <v>423</v>
      </c>
      <c r="D135" s="0" t="n">
        <v>102709</v>
      </c>
      <c r="E135" s="0" t="n">
        <v>60.55</v>
      </c>
      <c r="F135" s="0" t="n">
        <v>16.29</v>
      </c>
      <c r="G135" s="0" t="n">
        <v>-20.3</v>
      </c>
      <c r="H135" s="0" t="n">
        <v>-19.6</v>
      </c>
      <c r="I135" s="0" t="n">
        <v>-18.8</v>
      </c>
      <c r="J135" s="0" t="n">
        <v>-18.1</v>
      </c>
      <c r="K135" s="0" t="n">
        <v>-17.8</v>
      </c>
      <c r="L135" s="0" t="n">
        <v>-17.3</v>
      </c>
      <c r="M135" s="0" t="n">
        <v>-17.3</v>
      </c>
      <c r="N135" s="0" t="n">
        <v>-17.1</v>
      </c>
      <c r="O135" s="0" t="n">
        <v>-16.9</v>
      </c>
      <c r="P135" s="0" t="n">
        <v>-16.8</v>
      </c>
      <c r="Q135" s="0" t="n">
        <v>-16.5</v>
      </c>
      <c r="R135" s="0" t="n">
        <v>-16.3</v>
      </c>
      <c r="S135" s="0" t="n">
        <v>1.2</v>
      </c>
      <c r="T135" s="0" t="n">
        <f aca="false">VALUE(VLOOKUP(B135,FgeoVlookup,2,FALSE()))</f>
        <v>1.2</v>
      </c>
      <c r="U135" s="316" t="s">
        <v>423</v>
      </c>
    </row>
    <row r="136" customFormat="false" ht="12.75" hidden="false" customHeight="false" outlineLevel="0" collapsed="false">
      <c r="A136" s="0" t="s">
        <v>677</v>
      </c>
      <c r="B136" s="327" t="s">
        <v>597</v>
      </c>
      <c r="C136" s="0" t="s">
        <v>677</v>
      </c>
      <c r="D136" s="0" t="n">
        <v>102524</v>
      </c>
      <c r="E136" s="0" t="n">
        <v>58.85</v>
      </c>
      <c r="F136" s="0" t="n">
        <v>14.22</v>
      </c>
      <c r="G136" s="0" t="n">
        <v>-16.2</v>
      </c>
      <c r="H136" s="0" t="n">
        <v>-15.8</v>
      </c>
      <c r="I136" s="0" t="n">
        <v>-15</v>
      </c>
      <c r="J136" s="0" t="n">
        <v>-14.7</v>
      </c>
      <c r="K136" s="0" t="n">
        <v>-14.3</v>
      </c>
      <c r="L136" s="0" t="n">
        <v>-14.1</v>
      </c>
      <c r="M136" s="0" t="n">
        <v>-14</v>
      </c>
      <c r="N136" s="0" t="n">
        <v>-13.6</v>
      </c>
      <c r="O136" s="0" t="n">
        <v>-13.1</v>
      </c>
      <c r="P136" s="0" t="n">
        <v>-12.8</v>
      </c>
      <c r="Q136" s="0" t="n">
        <v>-12.6</v>
      </c>
      <c r="R136" s="0" t="n">
        <v>-12</v>
      </c>
      <c r="S136" s="0" t="n">
        <v>1</v>
      </c>
      <c r="T136" s="0" t="n">
        <f aca="false">VALUE(VLOOKUP(B136,FgeoVlookup,2,FALSE()))</f>
        <v>1</v>
      </c>
      <c r="U136" s="316" t="s">
        <v>597</v>
      </c>
    </row>
    <row r="137" customFormat="false" ht="12.75" hidden="false" customHeight="false" outlineLevel="0" collapsed="false">
      <c r="B137" s="0" t="s">
        <v>440</v>
      </c>
      <c r="C137" s="0" t="s">
        <v>440</v>
      </c>
      <c r="D137" s="0" t="n">
        <v>102720</v>
      </c>
      <c r="E137" s="0" t="n">
        <v>61.73</v>
      </c>
      <c r="F137" s="0" t="n">
        <v>17.11</v>
      </c>
      <c r="G137" s="0" t="n">
        <v>-19.5</v>
      </c>
      <c r="H137" s="0" t="n">
        <v>-19</v>
      </c>
      <c r="I137" s="0" t="n">
        <v>-17.9</v>
      </c>
      <c r="J137" s="0" t="n">
        <v>-17.6</v>
      </c>
      <c r="K137" s="0" t="n">
        <v>-16.8</v>
      </c>
      <c r="L137" s="0" t="n">
        <v>-16.1</v>
      </c>
      <c r="M137" s="0" t="n">
        <v>-15.7</v>
      </c>
      <c r="N137" s="0" t="n">
        <v>-15.6</v>
      </c>
      <c r="O137" s="0" t="n">
        <v>-15.3</v>
      </c>
      <c r="P137" s="0" t="n">
        <v>-14.9</v>
      </c>
      <c r="Q137" s="0" t="n">
        <v>-14.6</v>
      </c>
      <c r="R137" s="0" t="n">
        <v>-14.3</v>
      </c>
      <c r="S137" s="0" t="n">
        <v>1.2</v>
      </c>
      <c r="T137" s="0" t="n">
        <f aca="false">VALUE(VLOOKUP(B137,FgeoVlookup,2,FALSE()))</f>
        <v>1.2</v>
      </c>
      <c r="U137" s="316" t="s">
        <v>440</v>
      </c>
    </row>
    <row r="138" customFormat="false" ht="12.75" hidden="false" customHeight="false" outlineLevel="0" collapsed="false">
      <c r="B138" s="0" t="s">
        <v>509</v>
      </c>
      <c r="C138" s="0" t="s">
        <v>509</v>
      </c>
      <c r="D138" s="0" t="n">
        <v>102326</v>
      </c>
      <c r="E138" s="0" t="n">
        <v>57.5</v>
      </c>
      <c r="F138" s="0" t="n">
        <v>15.85</v>
      </c>
      <c r="G138" s="0" t="n">
        <v>-16.1</v>
      </c>
      <c r="H138" s="0" t="n">
        <v>-15.1</v>
      </c>
      <c r="I138" s="0" t="n">
        <v>-14.4</v>
      </c>
      <c r="J138" s="0" t="n">
        <v>-13.5</v>
      </c>
      <c r="K138" s="0" t="n">
        <v>-13</v>
      </c>
      <c r="L138" s="0" t="n">
        <v>-13</v>
      </c>
      <c r="M138" s="0" t="n">
        <v>-13</v>
      </c>
      <c r="N138" s="0" t="n">
        <v>-12.8</v>
      </c>
      <c r="O138" s="0" t="n">
        <v>-12.5</v>
      </c>
      <c r="P138" s="0" t="n">
        <v>-12.2</v>
      </c>
      <c r="Q138" s="0" t="n">
        <v>-11.9</v>
      </c>
      <c r="R138" s="0" t="n">
        <v>-11.5</v>
      </c>
      <c r="S138" s="0" t="n">
        <v>1</v>
      </c>
      <c r="T138" s="0" t="n">
        <f aca="false">VALUE(VLOOKUP(B138,FgeoVlookup,2,FALSE()))</f>
        <v>1</v>
      </c>
      <c r="U138" s="111" t="s">
        <v>509</v>
      </c>
    </row>
    <row r="139" customFormat="false" ht="12.75" hidden="false" customHeight="false" outlineLevel="0" collapsed="false">
      <c r="A139" s="0" t="s">
        <v>678</v>
      </c>
      <c r="B139" s="326" t="s">
        <v>460</v>
      </c>
      <c r="C139" s="0" t="s">
        <v>678</v>
      </c>
      <c r="D139" s="0" t="n">
        <v>102316</v>
      </c>
      <c r="E139" s="0" t="n">
        <v>57</v>
      </c>
      <c r="F139" s="0" t="n">
        <v>13.24</v>
      </c>
      <c r="G139" s="0" t="n">
        <v>-15.3</v>
      </c>
      <c r="H139" s="0" t="n">
        <v>-14.2</v>
      </c>
      <c r="I139" s="0" t="n">
        <v>-14</v>
      </c>
      <c r="J139" s="0" t="n">
        <v>-13</v>
      </c>
      <c r="K139" s="0" t="n">
        <v>-12.7</v>
      </c>
      <c r="L139" s="0" t="n">
        <v>-12.7</v>
      </c>
      <c r="M139" s="0" t="n">
        <v>-12.7</v>
      </c>
      <c r="N139" s="0" t="n">
        <v>-12.7</v>
      </c>
      <c r="O139" s="0" t="n">
        <v>-12.5</v>
      </c>
      <c r="P139" s="0" t="n">
        <v>-12.1</v>
      </c>
      <c r="Q139" s="0" t="n">
        <v>-11.9</v>
      </c>
      <c r="R139" s="0" t="n">
        <v>-11.9</v>
      </c>
      <c r="S139" s="0" t="n">
        <v>1</v>
      </c>
      <c r="T139" s="0" t="n">
        <f aca="false">VALUE(VLOOKUP(B139,FgeoVlookup,2,FALSE()))</f>
        <v>1</v>
      </c>
      <c r="U139" s="0" t="s">
        <v>460</v>
      </c>
    </row>
    <row r="140" customFormat="false" ht="12.75" hidden="false" customHeight="false" outlineLevel="0" collapsed="false">
      <c r="B140" s="0" t="s">
        <v>375</v>
      </c>
      <c r="C140" s="0" t="s">
        <v>375</v>
      </c>
      <c r="D140" s="0" t="n">
        <v>102637</v>
      </c>
      <c r="E140" s="0" t="n">
        <v>59.57</v>
      </c>
      <c r="F140" s="0" t="n">
        <v>17.53</v>
      </c>
      <c r="G140" s="0" t="n">
        <v>-17.8</v>
      </c>
      <c r="H140" s="0" t="n">
        <v>-17</v>
      </c>
      <c r="I140" s="0" t="n">
        <v>-16.2</v>
      </c>
      <c r="J140" s="0" t="n">
        <v>-15.8</v>
      </c>
      <c r="K140" s="0" t="n">
        <v>-15</v>
      </c>
      <c r="L140" s="0" t="n">
        <v>-14.8</v>
      </c>
      <c r="M140" s="0" t="n">
        <v>-14.7</v>
      </c>
      <c r="N140" s="0" t="n">
        <v>-14.4</v>
      </c>
      <c r="O140" s="0" t="n">
        <v>-14</v>
      </c>
      <c r="P140" s="0" t="n">
        <v>-13.7</v>
      </c>
      <c r="Q140" s="0" t="n">
        <v>-13.5</v>
      </c>
      <c r="R140" s="0" t="n">
        <v>-13.4</v>
      </c>
      <c r="S140" s="0" t="n">
        <v>1</v>
      </c>
      <c r="T140" s="0" t="n">
        <f aca="false">VALUE(VLOOKUP(B140,FgeoVlookup,2,FALSE()))</f>
        <v>1</v>
      </c>
      <c r="U140" s="111" t="s">
        <v>375</v>
      </c>
    </row>
    <row r="141" customFormat="false" ht="12.75" hidden="false" customHeight="false" outlineLevel="0" collapsed="false">
      <c r="B141" s="0" t="s">
        <v>491</v>
      </c>
      <c r="C141" s="0" t="s">
        <v>491</v>
      </c>
      <c r="D141" s="0" t="n">
        <v>102531</v>
      </c>
      <c r="E141" s="0" t="n">
        <v>59.77</v>
      </c>
      <c r="F141" s="0" t="n">
        <v>14.52</v>
      </c>
      <c r="G141" s="0" t="n">
        <v>-20.2</v>
      </c>
      <c r="H141" s="0" t="n">
        <v>-19.5</v>
      </c>
      <c r="I141" s="0" t="n">
        <v>-18.7</v>
      </c>
      <c r="J141" s="0" t="n">
        <v>-18.3</v>
      </c>
      <c r="K141" s="0" t="n">
        <v>-17.7</v>
      </c>
      <c r="L141" s="0" t="n">
        <v>-17.5</v>
      </c>
      <c r="M141" s="0" t="n">
        <v>-17.5</v>
      </c>
      <c r="N141" s="0" t="n">
        <v>-17.2</v>
      </c>
      <c r="O141" s="0" t="n">
        <v>-16.9</v>
      </c>
      <c r="P141" s="0" t="n">
        <v>-16.5</v>
      </c>
      <c r="Q141" s="0" t="n">
        <v>-16.2</v>
      </c>
      <c r="R141" s="0" t="n">
        <v>-16</v>
      </c>
      <c r="S141" s="0" t="n">
        <v>1.1</v>
      </c>
      <c r="T141" s="0" t="n">
        <f aca="false">VALUE(VLOOKUP(B141,FgeoVlookup,2,FALSE()))</f>
        <v>1.1</v>
      </c>
      <c r="U141" s="111" t="s">
        <v>491</v>
      </c>
    </row>
    <row r="142" customFormat="false" ht="12.75" hidden="false" customHeight="false" outlineLevel="0" collapsed="false">
      <c r="B142" s="0" t="s">
        <v>357</v>
      </c>
      <c r="C142" s="0" t="s">
        <v>357</v>
      </c>
      <c r="D142" s="0" t="n">
        <v>102806</v>
      </c>
      <c r="E142" s="0" t="n">
        <v>62.63</v>
      </c>
      <c r="F142" s="0" t="n">
        <v>17.93</v>
      </c>
      <c r="G142" s="0" t="n">
        <v>-21.9</v>
      </c>
      <c r="H142" s="0" t="n">
        <v>-20.8</v>
      </c>
      <c r="I142" s="0" t="n">
        <v>-20.2</v>
      </c>
      <c r="J142" s="0" t="n">
        <v>-19.5</v>
      </c>
      <c r="K142" s="0" t="n">
        <v>-18.9</v>
      </c>
      <c r="L142" s="0" t="n">
        <v>-18.4</v>
      </c>
      <c r="M142" s="0" t="n">
        <v>-18</v>
      </c>
      <c r="N142" s="0" t="n">
        <v>-17.8</v>
      </c>
      <c r="O142" s="0" t="n">
        <v>-17.2</v>
      </c>
      <c r="P142" s="0" t="n">
        <v>-17</v>
      </c>
      <c r="Q142" s="0" t="n">
        <v>-16.6</v>
      </c>
      <c r="R142" s="0" t="n">
        <v>-16.4</v>
      </c>
      <c r="S142" s="0" t="n">
        <v>1.3</v>
      </c>
      <c r="T142" s="0" t="n">
        <f aca="false">VALUE(VLOOKUP(B142,FgeoVlookup,2,FALSE()))</f>
        <v>1.3</v>
      </c>
      <c r="U142" s="111" t="s">
        <v>357</v>
      </c>
      <c r="V142" s="111"/>
    </row>
    <row r="143" customFormat="false" ht="12.75" hidden="false" customHeight="false" outlineLevel="0" collapsed="false">
      <c r="B143" s="0" t="s">
        <v>380</v>
      </c>
      <c r="C143" s="0" t="s">
        <v>380</v>
      </c>
      <c r="D143" s="0" t="n">
        <v>102254</v>
      </c>
      <c r="E143" s="0" t="n">
        <v>57.67</v>
      </c>
      <c r="F143" s="0" t="n">
        <v>12.12</v>
      </c>
      <c r="G143" s="0" t="n">
        <v>-13.1</v>
      </c>
      <c r="H143" s="0" t="n">
        <v>-12.3</v>
      </c>
      <c r="I143" s="0" t="n">
        <v>-11.7</v>
      </c>
      <c r="J143" s="0" t="n">
        <v>-11.4</v>
      </c>
      <c r="K143" s="0" t="n">
        <v>-11.4</v>
      </c>
      <c r="L143" s="0" t="n">
        <v>-11.4</v>
      </c>
      <c r="M143" s="0" t="n">
        <v>-11.1</v>
      </c>
      <c r="N143" s="0" t="n">
        <v>-11.1</v>
      </c>
      <c r="O143" s="0" t="n">
        <v>-10.8</v>
      </c>
      <c r="P143" s="0" t="n">
        <v>-10.6</v>
      </c>
      <c r="Q143" s="0" t="n">
        <v>-10.5</v>
      </c>
      <c r="R143" s="0" t="n">
        <v>-10.2</v>
      </c>
      <c r="S143" s="0" t="n">
        <v>0.9</v>
      </c>
      <c r="T143" s="0" t="n">
        <f aca="false">VALUE(VLOOKUP(B143,FgeoVlookup,2,FALSE()))</f>
        <v>0.9</v>
      </c>
      <c r="U143" s="111" t="s">
        <v>380</v>
      </c>
    </row>
    <row r="144" customFormat="false" ht="12.75" hidden="false" customHeight="false" outlineLevel="0" collapsed="false">
      <c r="B144" s="0" t="s">
        <v>534</v>
      </c>
      <c r="C144" s="0" t="s">
        <v>534</v>
      </c>
      <c r="D144" s="0" t="n">
        <v>102112</v>
      </c>
      <c r="E144" s="0" t="n">
        <v>56.16</v>
      </c>
      <c r="F144" s="0" t="n">
        <v>13.78</v>
      </c>
      <c r="G144" s="0" t="n">
        <v>-13.1</v>
      </c>
      <c r="H144" s="0" t="n">
        <v>-12</v>
      </c>
      <c r="I144" s="0" t="n">
        <v>-11.2</v>
      </c>
      <c r="J144" s="0" t="n">
        <v>-11.2</v>
      </c>
      <c r="K144" s="0" t="n">
        <v>-11.2</v>
      </c>
      <c r="L144" s="0" t="n">
        <v>-11</v>
      </c>
      <c r="M144" s="0" t="n">
        <v>-11</v>
      </c>
      <c r="N144" s="0" t="n">
        <v>-10.6</v>
      </c>
      <c r="O144" s="0" t="n">
        <v>-10.4</v>
      </c>
      <c r="P144" s="0" t="n">
        <v>-10.1</v>
      </c>
      <c r="Q144" s="0" t="n">
        <v>-9.8</v>
      </c>
      <c r="R144" s="0" t="n">
        <v>-9.6</v>
      </c>
      <c r="S144" s="0" t="n">
        <v>0.9</v>
      </c>
      <c r="T144" s="0" t="n">
        <f aca="false">VALUE(VLOOKUP(B144,FgeoVlookup,2,FALSE()))</f>
        <v>0.9</v>
      </c>
      <c r="U144" s="111" t="s">
        <v>534</v>
      </c>
    </row>
    <row r="145" customFormat="false" ht="12.75" hidden="false" customHeight="false" outlineLevel="0" collapsed="false">
      <c r="B145" s="0" t="s">
        <v>351</v>
      </c>
      <c r="C145" s="0" t="s">
        <v>351</v>
      </c>
      <c r="D145" s="0" t="n">
        <v>102129</v>
      </c>
      <c r="E145" s="0" t="n">
        <v>56.21</v>
      </c>
      <c r="F145" s="0" t="n">
        <v>12.56</v>
      </c>
      <c r="G145" s="0" t="n">
        <v>-10.5</v>
      </c>
      <c r="H145" s="0" t="n">
        <v>-9.9</v>
      </c>
      <c r="I145" s="0" t="n">
        <v>-9.1</v>
      </c>
      <c r="J145" s="0" t="n">
        <v>-9.1</v>
      </c>
      <c r="K145" s="0" t="n">
        <v>-9</v>
      </c>
      <c r="L145" s="0" t="n">
        <v>-8.7</v>
      </c>
      <c r="M145" s="0" t="n">
        <v>-8.7</v>
      </c>
      <c r="N145" s="0" t="n">
        <v>-8.5</v>
      </c>
      <c r="O145" s="0" t="n">
        <v>-8.4</v>
      </c>
      <c r="P145" s="0" t="n">
        <v>-8</v>
      </c>
      <c r="Q145" s="0" t="n">
        <v>-7.8</v>
      </c>
      <c r="R145" s="0" t="n">
        <v>-7.6</v>
      </c>
      <c r="S145" s="0" t="n">
        <v>0.8</v>
      </c>
      <c r="T145" s="0" t="n">
        <f aca="false">VALUE(VLOOKUP(B145,FgeoVlookup,2,FALSE()))</f>
        <v>0.8</v>
      </c>
      <c r="U145" s="111" t="s">
        <v>351</v>
      </c>
    </row>
    <row r="146" customFormat="false" ht="12.75" hidden="false" customHeight="false" outlineLevel="0" collapsed="false">
      <c r="B146" s="0" t="s">
        <v>521</v>
      </c>
      <c r="C146" s="0" t="s">
        <v>521</v>
      </c>
      <c r="D146" s="0" t="n">
        <v>102340</v>
      </c>
      <c r="E146" s="0" t="n">
        <v>57.16</v>
      </c>
      <c r="F146" s="0" t="n">
        <v>16.03</v>
      </c>
      <c r="G146" s="0" t="n">
        <v>-15.5</v>
      </c>
      <c r="H146" s="0" t="n">
        <v>-14.2</v>
      </c>
      <c r="I146" s="0" t="n">
        <v>-13.5</v>
      </c>
      <c r="J146" s="0" t="n">
        <v>-13.1</v>
      </c>
      <c r="K146" s="0" t="n">
        <v>-12.8</v>
      </c>
      <c r="L146" s="0" t="n">
        <v>-12.6</v>
      </c>
      <c r="M146" s="0" t="n">
        <v>-12.3</v>
      </c>
      <c r="N146" s="0" t="n">
        <v>-12.2</v>
      </c>
      <c r="O146" s="0" t="n">
        <v>-11.9</v>
      </c>
      <c r="P146" s="0" t="n">
        <v>-11.6</v>
      </c>
      <c r="Q146" s="0" t="n">
        <v>-11.4</v>
      </c>
      <c r="R146" s="0" t="n">
        <v>-11</v>
      </c>
      <c r="S146" s="0" t="n">
        <v>1</v>
      </c>
      <c r="T146" s="0" t="n">
        <f aca="false">VALUE(VLOOKUP(B146,FgeoVlookup,2,FALSE()))</f>
        <v>1</v>
      </c>
      <c r="U146" s="111" t="s">
        <v>521</v>
      </c>
    </row>
    <row r="147" customFormat="false" ht="12.75" hidden="false" customHeight="false" outlineLevel="0" collapsed="false">
      <c r="B147" s="0" t="s">
        <v>544</v>
      </c>
      <c r="C147" s="0" t="s">
        <v>544</v>
      </c>
      <c r="D147" s="0" t="n">
        <v>102125</v>
      </c>
      <c r="E147" s="0" t="n">
        <v>55.86</v>
      </c>
      <c r="F147" s="0" t="n">
        <v>13.67</v>
      </c>
      <c r="G147" s="0" t="n">
        <v>-12.6</v>
      </c>
      <c r="H147" s="0" t="n">
        <v>-11.7</v>
      </c>
      <c r="I147" s="0" t="n">
        <v>-11.2</v>
      </c>
      <c r="J147" s="0" t="n">
        <v>-10.9</v>
      </c>
      <c r="K147" s="0" t="n">
        <v>-10.9</v>
      </c>
      <c r="L147" s="0" t="n">
        <v>-10.8</v>
      </c>
      <c r="M147" s="0" t="n">
        <v>-10.7</v>
      </c>
      <c r="N147" s="0" t="n">
        <v>-10.2</v>
      </c>
      <c r="O147" s="0" t="n">
        <v>-10</v>
      </c>
      <c r="P147" s="0" t="n">
        <v>-9.8</v>
      </c>
      <c r="Q147" s="0" t="n">
        <v>-9.5</v>
      </c>
      <c r="R147" s="0" t="n">
        <v>-9.3</v>
      </c>
      <c r="S147" s="0" t="n">
        <v>0.9</v>
      </c>
      <c r="T147" s="0" t="n">
        <f aca="false">VALUE(VLOOKUP(B147,FgeoVlookup,2,FALSE()))</f>
        <v>0.9</v>
      </c>
      <c r="U147" s="111" t="s">
        <v>544</v>
      </c>
    </row>
    <row r="148" customFormat="false" ht="12.75" hidden="false" customHeight="false" outlineLevel="0" collapsed="false">
      <c r="B148" s="0" t="s">
        <v>552</v>
      </c>
      <c r="C148" s="0" t="s">
        <v>552</v>
      </c>
      <c r="D148" s="0" t="n">
        <v>102127</v>
      </c>
      <c r="E148" s="0" t="n">
        <v>55.93</v>
      </c>
      <c r="F148" s="0" t="n">
        <v>13.55</v>
      </c>
      <c r="G148" s="0" t="n">
        <v>-12.6</v>
      </c>
      <c r="H148" s="0" t="n">
        <v>-11.7</v>
      </c>
      <c r="I148" s="0" t="n">
        <v>-11.1</v>
      </c>
      <c r="J148" s="0" t="n">
        <v>-10.8</v>
      </c>
      <c r="K148" s="0" t="n">
        <v>-10.8</v>
      </c>
      <c r="L148" s="0" t="n">
        <v>-10.8</v>
      </c>
      <c r="M148" s="0" t="n">
        <v>-10.7</v>
      </c>
      <c r="N148" s="0" t="n">
        <v>-10.2</v>
      </c>
      <c r="O148" s="0" t="n">
        <v>-10</v>
      </c>
      <c r="P148" s="0" t="n">
        <v>-9.7</v>
      </c>
      <c r="Q148" s="0" t="n">
        <v>-9.5</v>
      </c>
      <c r="R148" s="0" t="n">
        <v>-9.2</v>
      </c>
      <c r="S148" s="0" t="n">
        <v>0.9</v>
      </c>
      <c r="T148" s="0" t="n">
        <f aca="false">VALUE(VLOOKUP(B148,FgeoVlookup,2,FALSE()))</f>
        <v>0.9</v>
      </c>
      <c r="U148" s="111" t="s">
        <v>552</v>
      </c>
    </row>
    <row r="149" customFormat="false" ht="12.75" hidden="false" customHeight="false" outlineLevel="0" collapsed="false">
      <c r="B149" s="0" t="s">
        <v>533</v>
      </c>
      <c r="C149" s="0" t="s">
        <v>533</v>
      </c>
      <c r="D149" s="0" t="n">
        <v>102008</v>
      </c>
      <c r="E149" s="0" t="n">
        <v>66.61</v>
      </c>
      <c r="F149" s="0" t="n">
        <v>19.84</v>
      </c>
      <c r="G149" s="0" t="n">
        <v>-34.5</v>
      </c>
      <c r="H149" s="0" t="n">
        <v>-33.4</v>
      </c>
      <c r="I149" s="0" t="n">
        <v>-32.3</v>
      </c>
      <c r="J149" s="0" t="n">
        <v>-31.5</v>
      </c>
      <c r="K149" s="0" t="n">
        <v>-30.5</v>
      </c>
      <c r="L149" s="0" t="n">
        <v>-29.3</v>
      </c>
      <c r="M149" s="0" t="n">
        <v>-29.3</v>
      </c>
      <c r="N149" s="0" t="n">
        <v>-29</v>
      </c>
      <c r="O149" s="0" t="n">
        <v>-28.5</v>
      </c>
      <c r="P149" s="0" t="n">
        <v>-28.2</v>
      </c>
      <c r="Q149" s="0" t="n">
        <v>-27.8</v>
      </c>
      <c r="R149" s="0" t="n">
        <v>-27.6</v>
      </c>
      <c r="S149" s="0" t="n">
        <v>1.8</v>
      </c>
      <c r="T149" s="0" t="n">
        <f aca="false">VALUE(VLOOKUP(B149,FgeoVlookup,2,FALSE()))</f>
        <v>1.8</v>
      </c>
      <c r="U149" s="111" t="s">
        <v>533</v>
      </c>
    </row>
    <row r="150" customFormat="false" ht="12.75" hidden="false" customHeight="false" outlineLevel="0" collapsed="false">
      <c r="B150" s="0" t="s">
        <v>327</v>
      </c>
      <c r="C150" s="0" t="s">
        <v>327</v>
      </c>
      <c r="D150" s="0" t="n">
        <v>102320</v>
      </c>
      <c r="E150" s="0" t="n">
        <v>57.76</v>
      </c>
      <c r="F150" s="0" t="n">
        <v>14.19</v>
      </c>
      <c r="G150" s="0" t="n">
        <v>-16</v>
      </c>
      <c r="H150" s="0" t="n">
        <v>-15.1</v>
      </c>
      <c r="I150" s="0" t="n">
        <v>-14.6</v>
      </c>
      <c r="J150" s="0" t="n">
        <v>-14.1</v>
      </c>
      <c r="K150" s="0" t="n">
        <v>-13.6</v>
      </c>
      <c r="L150" s="0" t="n">
        <v>-13.4</v>
      </c>
      <c r="M150" s="0" t="n">
        <v>-13.3</v>
      </c>
      <c r="N150" s="0" t="n">
        <v>-13</v>
      </c>
      <c r="O150" s="0" t="n">
        <v>-12.8</v>
      </c>
      <c r="P150" s="0" t="n">
        <v>-12.4</v>
      </c>
      <c r="Q150" s="0" t="n">
        <v>-12.1</v>
      </c>
      <c r="R150" s="0" t="n">
        <v>-11.7</v>
      </c>
      <c r="S150" s="0" t="n">
        <v>1</v>
      </c>
      <c r="T150" s="0" t="n">
        <f aca="false">VALUE(VLOOKUP(B150,FgeoVlookup,2,FALSE()))</f>
        <v>1</v>
      </c>
      <c r="U150" s="111" t="s">
        <v>327</v>
      </c>
    </row>
    <row r="151" customFormat="false" ht="12.75" hidden="false" customHeight="false" outlineLevel="0" collapsed="false">
      <c r="B151" s="0" t="s">
        <v>410</v>
      </c>
      <c r="C151" s="0" t="s">
        <v>410</v>
      </c>
      <c r="D151" s="0" t="n">
        <v>102017</v>
      </c>
      <c r="E151" s="0" t="n">
        <v>65.86</v>
      </c>
      <c r="F151" s="0" t="n">
        <v>23.16</v>
      </c>
      <c r="G151" s="0" t="n">
        <v>-27.4</v>
      </c>
      <c r="H151" s="0" t="n">
        <v>-26.6</v>
      </c>
      <c r="I151" s="0" t="n">
        <v>-25.7</v>
      </c>
      <c r="J151" s="0" t="n">
        <v>-25</v>
      </c>
      <c r="K151" s="0" t="n">
        <v>-24.6</v>
      </c>
      <c r="L151" s="0" t="n">
        <v>-24.3</v>
      </c>
      <c r="M151" s="0" t="n">
        <v>-23.9</v>
      </c>
      <c r="N151" s="0" t="n">
        <v>-23.6</v>
      </c>
      <c r="O151" s="0" t="n">
        <v>-23.5</v>
      </c>
      <c r="P151" s="0" t="n">
        <v>-23</v>
      </c>
      <c r="Q151" s="0" t="n">
        <v>-22.8</v>
      </c>
      <c r="R151" s="0" t="n">
        <v>-22.5</v>
      </c>
      <c r="S151" s="0" t="n">
        <v>1.5</v>
      </c>
      <c r="T151" s="0" t="n">
        <f aca="false">VALUE(VLOOKUP(B151,FgeoVlookup,2,FALSE()))</f>
        <v>1.5</v>
      </c>
      <c r="U151" s="111" t="s">
        <v>410</v>
      </c>
    </row>
    <row r="152" customFormat="false" ht="12.75" hidden="false" customHeight="false" outlineLevel="0" collapsed="false">
      <c r="B152" s="0" t="s">
        <v>328</v>
      </c>
      <c r="C152" s="0" t="s">
        <v>328</v>
      </c>
      <c r="D152" s="0" t="n">
        <v>102307</v>
      </c>
      <c r="E152" s="0" t="n">
        <v>56.68</v>
      </c>
      <c r="F152" s="0" t="n">
        <v>16.35</v>
      </c>
      <c r="G152" s="0" t="n">
        <v>-12.6</v>
      </c>
      <c r="H152" s="0" t="n">
        <v>-11.8</v>
      </c>
      <c r="I152" s="0" t="n">
        <v>-11.5</v>
      </c>
      <c r="J152" s="0" t="n">
        <v>-11.1</v>
      </c>
      <c r="K152" s="0" t="n">
        <v>-10.7</v>
      </c>
      <c r="L152" s="0" t="n">
        <v>-10.5</v>
      </c>
      <c r="M152" s="0" t="n">
        <v>-10.4</v>
      </c>
      <c r="N152" s="0" t="n">
        <v>-10</v>
      </c>
      <c r="O152" s="0" t="n">
        <v>-9.7</v>
      </c>
      <c r="P152" s="0" t="n">
        <v>-9.5</v>
      </c>
      <c r="Q152" s="0" t="n">
        <v>-9.2</v>
      </c>
      <c r="R152" s="0" t="n">
        <v>-8.9</v>
      </c>
      <c r="S152" s="0" t="n">
        <v>0.9</v>
      </c>
      <c r="T152" s="0" t="n">
        <f aca="false">VALUE(VLOOKUP(B152,FgeoVlookup,2,FALSE()))</f>
        <v>0.9</v>
      </c>
      <c r="U152" s="111" t="s">
        <v>328</v>
      </c>
    </row>
    <row r="153" customFormat="false" ht="12.75" hidden="false" customHeight="false" outlineLevel="0" collapsed="false">
      <c r="B153" s="0" t="s">
        <v>609</v>
      </c>
      <c r="C153" s="0" t="s">
        <v>609</v>
      </c>
      <c r="D153" s="0" t="n">
        <v>102218</v>
      </c>
      <c r="E153" s="0" t="n">
        <v>58.54</v>
      </c>
      <c r="F153" s="0" t="n">
        <v>14.51</v>
      </c>
      <c r="G153" s="0" t="n">
        <v>-15.2</v>
      </c>
      <c r="H153" s="0" t="n">
        <v>-14.5</v>
      </c>
      <c r="I153" s="0" t="n">
        <v>-13.7</v>
      </c>
      <c r="J153" s="0" t="n">
        <v>-13.2</v>
      </c>
      <c r="K153" s="0" t="n">
        <v>-13.1</v>
      </c>
      <c r="L153" s="0" t="n">
        <v>-12.8</v>
      </c>
      <c r="M153" s="0" t="n">
        <v>-12.8</v>
      </c>
      <c r="N153" s="0" t="n">
        <v>-12.7</v>
      </c>
      <c r="O153" s="0" t="n">
        <v>-12.1</v>
      </c>
      <c r="P153" s="0" t="n">
        <v>-11.8</v>
      </c>
      <c r="Q153" s="0" t="n">
        <v>-11.4</v>
      </c>
      <c r="R153" s="0" t="n">
        <v>-10.9</v>
      </c>
      <c r="S153" s="0" t="n">
        <v>1</v>
      </c>
      <c r="T153" s="0" t="n">
        <f aca="false">VALUE(VLOOKUP(B153,FgeoVlookup,2,FALSE()))</f>
        <v>1</v>
      </c>
      <c r="U153" s="111" t="s">
        <v>609</v>
      </c>
    </row>
    <row r="154" customFormat="false" ht="12.75" hidden="false" customHeight="false" outlineLevel="0" collapsed="false">
      <c r="B154" s="0" t="s">
        <v>504</v>
      </c>
      <c r="C154" s="0" t="s">
        <v>504</v>
      </c>
      <c r="D154" s="0" t="n">
        <v>102510</v>
      </c>
      <c r="E154" s="0" t="n">
        <v>59.32</v>
      </c>
      <c r="F154" s="0" t="n">
        <v>14.53</v>
      </c>
      <c r="G154" s="0" t="n">
        <v>-18.5</v>
      </c>
      <c r="H154" s="0" t="n">
        <v>-17.7</v>
      </c>
      <c r="I154" s="0" t="n">
        <v>-17.3</v>
      </c>
      <c r="J154" s="0" t="n">
        <v>-16.3</v>
      </c>
      <c r="K154" s="0" t="n">
        <v>-16.2</v>
      </c>
      <c r="L154" s="0" t="n">
        <v>-15.8</v>
      </c>
      <c r="M154" s="0" t="n">
        <v>-15.8</v>
      </c>
      <c r="N154" s="0" t="n">
        <v>-15.7</v>
      </c>
      <c r="O154" s="0" t="n">
        <v>-15.3</v>
      </c>
      <c r="P154" s="0" t="n">
        <v>-15</v>
      </c>
      <c r="Q154" s="0" t="n">
        <v>-14.6</v>
      </c>
      <c r="R154" s="0" t="n">
        <v>-14.2</v>
      </c>
      <c r="S154" s="0" t="n">
        <v>1.1</v>
      </c>
      <c r="T154" s="0" t="n">
        <f aca="false">VALUE(VLOOKUP(B154,FgeoVlookup,2,FALSE()))</f>
        <v>1.1</v>
      </c>
      <c r="U154" s="111" t="s">
        <v>504</v>
      </c>
    </row>
    <row r="155" customFormat="false" ht="12.75" hidden="false" customHeight="false" outlineLevel="0" collapsed="false">
      <c r="B155" s="0" t="s">
        <v>487</v>
      </c>
      <c r="C155" s="0" t="s">
        <v>487</v>
      </c>
      <c r="D155" s="0" t="n">
        <v>102507</v>
      </c>
      <c r="E155" s="0" t="n">
        <v>59.39</v>
      </c>
      <c r="F155" s="0" t="n">
        <v>13.51</v>
      </c>
      <c r="G155" s="0" t="n">
        <v>-18.9</v>
      </c>
      <c r="H155" s="0" t="n">
        <v>-17.9</v>
      </c>
      <c r="I155" s="0" t="n">
        <v>-17.4</v>
      </c>
      <c r="J155" s="0" t="n">
        <v>-17.1</v>
      </c>
      <c r="K155" s="0" t="n">
        <v>-16.4</v>
      </c>
      <c r="L155" s="0" t="n">
        <v>-16.1</v>
      </c>
      <c r="M155" s="0" t="n">
        <v>-16.1</v>
      </c>
      <c r="N155" s="0" t="n">
        <v>-16.1</v>
      </c>
      <c r="O155" s="0" t="n">
        <v>-15.8</v>
      </c>
      <c r="P155" s="0" t="n">
        <v>-15.5</v>
      </c>
      <c r="Q155" s="0" t="n">
        <v>-15</v>
      </c>
      <c r="R155" s="0" t="n">
        <v>-14.7</v>
      </c>
      <c r="S155" s="0" t="n">
        <v>1.1</v>
      </c>
      <c r="T155" s="0" t="n">
        <f aca="false">VALUE(VLOOKUP(B155,FgeoVlookup,2,FALSE()))</f>
        <v>1.1</v>
      </c>
      <c r="U155" s="111" t="s">
        <v>487</v>
      </c>
    </row>
    <row r="156" customFormat="false" ht="12.75" hidden="false" customHeight="false" outlineLevel="0" collapsed="false">
      <c r="B156" s="0" t="s">
        <v>500</v>
      </c>
      <c r="C156" s="0" t="s">
        <v>500</v>
      </c>
      <c r="D156" s="0" t="n">
        <v>102520</v>
      </c>
      <c r="E156" s="0" t="n">
        <v>59.51</v>
      </c>
      <c r="F156" s="0" t="n">
        <v>13.32</v>
      </c>
      <c r="G156" s="0" t="n">
        <v>-19.9</v>
      </c>
      <c r="H156" s="0" t="n">
        <v>-18.8</v>
      </c>
      <c r="I156" s="0" t="n">
        <v>-18.3</v>
      </c>
      <c r="J156" s="0" t="n">
        <v>-17.8</v>
      </c>
      <c r="K156" s="0" t="n">
        <v>-17.2</v>
      </c>
      <c r="L156" s="0" t="n">
        <v>-17</v>
      </c>
      <c r="M156" s="0" t="n">
        <v>-17</v>
      </c>
      <c r="N156" s="0" t="n">
        <v>-16.9</v>
      </c>
      <c r="O156" s="0" t="n">
        <v>-16.6</v>
      </c>
      <c r="P156" s="0" t="n">
        <v>-16.3</v>
      </c>
      <c r="Q156" s="0" t="n">
        <v>-16</v>
      </c>
      <c r="R156" s="0" t="n">
        <v>-15.7</v>
      </c>
      <c r="S156" s="0" t="n">
        <v>1.1</v>
      </c>
      <c r="T156" s="0" t="n">
        <f aca="false">VALUE(VLOOKUP(B156,FgeoVlookup,2,FALSE()))</f>
        <v>1.1</v>
      </c>
      <c r="U156" s="111" t="s">
        <v>500</v>
      </c>
    </row>
    <row r="157" customFormat="false" ht="12.75" hidden="false" customHeight="false" outlineLevel="0" collapsed="false">
      <c r="A157" s="0" t="s">
        <v>679</v>
      </c>
      <c r="B157" s="326" t="s">
        <v>616</v>
      </c>
      <c r="C157" s="0" t="s">
        <v>679</v>
      </c>
      <c r="D157" s="0" t="n">
        <v>102205</v>
      </c>
      <c r="E157" s="0" t="n">
        <v>57.49</v>
      </c>
      <c r="F157" s="0" t="n">
        <v>12.69</v>
      </c>
      <c r="G157" s="0" t="n">
        <v>-14.3</v>
      </c>
      <c r="H157" s="0" t="n">
        <v>-13</v>
      </c>
      <c r="I157" s="0" t="n">
        <v>-12.7</v>
      </c>
      <c r="J157" s="0" t="n">
        <v>-12.3</v>
      </c>
      <c r="K157" s="0" t="n">
        <v>-12</v>
      </c>
      <c r="L157" s="0" t="n">
        <v>-11.9</v>
      </c>
      <c r="M157" s="0" t="n">
        <v>-11.9</v>
      </c>
      <c r="N157" s="0" t="n">
        <v>-11.9</v>
      </c>
      <c r="O157" s="0" t="n">
        <v>-11.6</v>
      </c>
      <c r="P157" s="0" t="n">
        <v>-11.4</v>
      </c>
      <c r="Q157" s="0" t="n">
        <v>-11.1</v>
      </c>
      <c r="R157" s="0" t="n">
        <v>-10.9</v>
      </c>
      <c r="S157" s="0" t="n">
        <v>1</v>
      </c>
      <c r="T157" s="0" t="n">
        <f aca="false">VALUE(VLOOKUP(B157,FgeoVlookup,2,FALSE()))</f>
        <v>1</v>
      </c>
      <c r="U157" s="111" t="s">
        <v>616</v>
      </c>
      <c r="V157" s="111"/>
    </row>
    <row r="158" customFormat="false" ht="12.75" hidden="false" customHeight="false" outlineLevel="0" collapsed="false">
      <c r="B158" s="0" t="s">
        <v>551</v>
      </c>
      <c r="C158" s="0" t="s">
        <v>551</v>
      </c>
      <c r="D158" s="0" t="n">
        <v>102014</v>
      </c>
      <c r="E158" s="0" t="n">
        <v>67.85</v>
      </c>
      <c r="F158" s="0" t="n">
        <v>20.25</v>
      </c>
      <c r="G158" s="0" t="n">
        <v>-30</v>
      </c>
      <c r="H158" s="0" t="n">
        <v>-29.2</v>
      </c>
      <c r="I158" s="0" t="n">
        <v>-28.5</v>
      </c>
      <c r="J158" s="0" t="n">
        <v>-27.5</v>
      </c>
      <c r="K158" s="0" t="n">
        <v>-26.5</v>
      </c>
      <c r="L158" s="0" t="n">
        <v>-26.2</v>
      </c>
      <c r="M158" s="0" t="n">
        <v>-25.7</v>
      </c>
      <c r="N158" s="0" t="n">
        <v>-25</v>
      </c>
      <c r="O158" s="0" t="n">
        <v>-24.7</v>
      </c>
      <c r="P158" s="0" t="n">
        <v>-24.4</v>
      </c>
      <c r="Q158" s="0" t="n">
        <v>-24.3</v>
      </c>
      <c r="R158" s="0" t="n">
        <v>-24.2</v>
      </c>
      <c r="S158" s="0" t="n">
        <v>1.9</v>
      </c>
      <c r="T158" s="0" t="n">
        <f aca="false">VALUE(VLOOKUP(B158,FgeoVlookup,2,FALSE()))</f>
        <v>1.9</v>
      </c>
      <c r="U158" s="111" t="s">
        <v>551</v>
      </c>
    </row>
    <row r="159" customFormat="false" ht="12.75" hidden="false" customHeight="false" outlineLevel="0" collapsed="false">
      <c r="B159" s="0" t="s">
        <v>558</v>
      </c>
      <c r="C159" s="0" t="s">
        <v>558</v>
      </c>
      <c r="D159" s="0" t="n">
        <v>102110</v>
      </c>
      <c r="E159" s="0" t="n">
        <v>56.14</v>
      </c>
      <c r="F159" s="0" t="n">
        <v>13.16</v>
      </c>
      <c r="G159" s="0" t="n">
        <v>-12.4</v>
      </c>
      <c r="H159" s="0" t="n">
        <v>-11.6</v>
      </c>
      <c r="I159" s="0" t="n">
        <v>-10.7</v>
      </c>
      <c r="J159" s="0" t="n">
        <v>-10.7</v>
      </c>
      <c r="K159" s="0" t="n">
        <v>-10.6</v>
      </c>
      <c r="L159" s="0" t="n">
        <v>-10.6</v>
      </c>
      <c r="M159" s="0" t="n">
        <v>-10.6</v>
      </c>
      <c r="N159" s="0" t="n">
        <v>-10.1</v>
      </c>
      <c r="O159" s="0" t="n">
        <v>-10</v>
      </c>
      <c r="P159" s="0" t="n">
        <v>-9.7</v>
      </c>
      <c r="Q159" s="0" t="n">
        <v>-9.3</v>
      </c>
      <c r="R159" s="0" t="n">
        <v>-9.2</v>
      </c>
      <c r="S159" s="0" t="n">
        <v>0.9</v>
      </c>
      <c r="T159" s="0" t="n">
        <f aca="false">VALUE(VLOOKUP(B159,FgeoVlookup,2,FALSE()))</f>
        <v>0.9</v>
      </c>
      <c r="U159" s="111" t="s">
        <v>558</v>
      </c>
    </row>
    <row r="160" customFormat="false" ht="12.75" hidden="false" customHeight="false" outlineLevel="0" collapsed="false">
      <c r="B160" s="0" t="s">
        <v>394</v>
      </c>
      <c r="C160" s="0" t="s">
        <v>394</v>
      </c>
      <c r="D160" s="0" t="n">
        <v>102638</v>
      </c>
      <c r="E160" s="0" t="n">
        <v>59.73</v>
      </c>
      <c r="F160" s="0" t="n">
        <v>17.79</v>
      </c>
      <c r="G160" s="0" t="n">
        <v>-17.9</v>
      </c>
      <c r="H160" s="0" t="n">
        <v>-17.2</v>
      </c>
      <c r="I160" s="0" t="n">
        <v>-16.6</v>
      </c>
      <c r="J160" s="0" t="n">
        <v>-16.1</v>
      </c>
      <c r="K160" s="0" t="n">
        <v>-15.3</v>
      </c>
      <c r="L160" s="0" t="n">
        <v>-15</v>
      </c>
      <c r="M160" s="0" t="n">
        <v>-14.7</v>
      </c>
      <c r="N160" s="0" t="n">
        <v>-14.5</v>
      </c>
      <c r="O160" s="0" t="n">
        <v>-14.3</v>
      </c>
      <c r="P160" s="0" t="n">
        <v>-14</v>
      </c>
      <c r="Q160" s="0" t="n">
        <v>-13.8</v>
      </c>
      <c r="R160" s="0" t="n">
        <v>-13.7</v>
      </c>
      <c r="S160" s="0" t="n">
        <v>1</v>
      </c>
      <c r="T160" s="0" t="n">
        <f aca="false">VALUE(VLOOKUP(B160,FgeoVlookup,2,FALSE()))</f>
        <v>1</v>
      </c>
      <c r="U160" s="111" t="s">
        <v>394</v>
      </c>
      <c r="V160" s="188"/>
    </row>
    <row r="161" customFormat="false" ht="12.75" hidden="false" customHeight="false" outlineLevel="0" collapsed="false">
      <c r="B161" s="0" t="s">
        <v>378</v>
      </c>
      <c r="C161" s="0" t="s">
        <v>378</v>
      </c>
      <c r="D161" s="0" t="n">
        <v>102807</v>
      </c>
      <c r="E161" s="0" t="n">
        <v>62.93</v>
      </c>
      <c r="F161" s="0" t="n">
        <v>17.8</v>
      </c>
      <c r="G161" s="0" t="n">
        <v>-24.3</v>
      </c>
      <c r="H161" s="0" t="n">
        <v>-23.5</v>
      </c>
      <c r="I161" s="0" t="n">
        <v>-22.8</v>
      </c>
      <c r="J161" s="0" t="n">
        <v>-22.1</v>
      </c>
      <c r="K161" s="0" t="n">
        <v>-21.1</v>
      </c>
      <c r="L161" s="0" t="n">
        <v>-20.4</v>
      </c>
      <c r="M161" s="0" t="n">
        <v>-20</v>
      </c>
      <c r="N161" s="0" t="n">
        <v>-19.7</v>
      </c>
      <c r="O161" s="0" t="n">
        <v>-19.5</v>
      </c>
      <c r="P161" s="0" t="n">
        <v>-19.2</v>
      </c>
      <c r="Q161" s="0" t="n">
        <v>-18.9</v>
      </c>
      <c r="R161" s="0" t="n">
        <v>-18.7</v>
      </c>
      <c r="S161" s="0" t="n">
        <v>1.3</v>
      </c>
      <c r="T161" s="0" t="n">
        <f aca="false">VALUE(VLOOKUP(B161,FgeoVlookup,2,FALSE()))</f>
        <v>1.3</v>
      </c>
      <c r="U161" s="111" t="s">
        <v>378</v>
      </c>
      <c r="V161" s="111"/>
    </row>
    <row r="162" customFormat="false" ht="12.75" hidden="false" customHeight="false" outlineLevel="0" collapsed="false">
      <c r="B162" s="0" t="s">
        <v>564</v>
      </c>
      <c r="C162" s="0" t="s">
        <v>564</v>
      </c>
      <c r="D162" s="0" t="n">
        <v>102113</v>
      </c>
      <c r="E162" s="0" t="n">
        <v>56.02</v>
      </c>
      <c r="F162" s="0" t="n">
        <v>14.14</v>
      </c>
      <c r="G162" s="0" t="n">
        <v>-12.1</v>
      </c>
      <c r="H162" s="0" t="n">
        <v>-11.1</v>
      </c>
      <c r="I162" s="0" t="n">
        <v>-10.5</v>
      </c>
      <c r="J162" s="0" t="n">
        <v>-10.4</v>
      </c>
      <c r="K162" s="0" t="n">
        <v>-10.3</v>
      </c>
      <c r="L162" s="0" t="n">
        <v>-10.1</v>
      </c>
      <c r="M162" s="0" t="n">
        <v>-10</v>
      </c>
      <c r="N162" s="0" t="n">
        <v>-9.6</v>
      </c>
      <c r="O162" s="0" t="n">
        <v>-9.4</v>
      </c>
      <c r="P162" s="0" t="n">
        <v>-9.2</v>
      </c>
      <c r="Q162" s="0" t="n">
        <v>-8.9</v>
      </c>
      <c r="R162" s="0" t="n">
        <v>-8.8</v>
      </c>
      <c r="S162" s="0" t="n">
        <v>0.9</v>
      </c>
      <c r="T162" s="0" t="n">
        <f aca="false">VALUE(VLOOKUP(B162,FgeoVlookup,2,FALSE()))</f>
        <v>0.9</v>
      </c>
      <c r="U162" s="111" t="s">
        <v>564</v>
      </c>
      <c r="V162" s="111"/>
    </row>
    <row r="163" customFormat="false" ht="12.75" hidden="false" customHeight="false" outlineLevel="0" collapsed="false">
      <c r="B163" s="0" t="s">
        <v>513</v>
      </c>
      <c r="C163" s="0" t="s">
        <v>513</v>
      </c>
      <c r="D163" s="0" t="n">
        <v>102508</v>
      </c>
      <c r="E163" s="0" t="n">
        <v>59.31</v>
      </c>
      <c r="F163" s="0" t="n">
        <v>14.11</v>
      </c>
      <c r="G163" s="0" t="n">
        <v>-18.6</v>
      </c>
      <c r="H163" s="0" t="n">
        <v>-17.7</v>
      </c>
      <c r="I163" s="0" t="n">
        <v>-16.9</v>
      </c>
      <c r="J163" s="0" t="n">
        <v>-16.3</v>
      </c>
      <c r="K163" s="0" t="n">
        <v>-16</v>
      </c>
      <c r="L163" s="0" t="n">
        <v>-15.5</v>
      </c>
      <c r="M163" s="0" t="n">
        <v>-15.5</v>
      </c>
      <c r="N163" s="0" t="n">
        <v>-15.5</v>
      </c>
      <c r="O163" s="0" t="n">
        <v>-15.4</v>
      </c>
      <c r="P163" s="0" t="n">
        <v>-15.1</v>
      </c>
      <c r="Q163" s="0" t="n">
        <v>-14.8</v>
      </c>
      <c r="R163" s="0" t="n">
        <v>-14.3</v>
      </c>
      <c r="S163" s="0" t="n">
        <v>1.1</v>
      </c>
      <c r="T163" s="0" t="n">
        <f aca="false">VALUE(VLOOKUP(B163,FgeoVlookup,2,FALSE()))</f>
        <v>1.1</v>
      </c>
      <c r="U163" s="111" t="s">
        <v>513</v>
      </c>
      <c r="V163" s="111"/>
    </row>
    <row r="164" customFormat="false" ht="12.75" hidden="false" customHeight="false" outlineLevel="0" collapsed="false">
      <c r="B164" s="0" t="s">
        <v>381</v>
      </c>
      <c r="C164" s="0" t="s">
        <v>381</v>
      </c>
      <c r="D164" s="0" t="n">
        <v>102513</v>
      </c>
      <c r="E164" s="0" t="n">
        <v>59.12</v>
      </c>
      <c r="F164" s="0" t="n">
        <v>15.15</v>
      </c>
      <c r="G164" s="0" t="n">
        <v>-17.8</v>
      </c>
      <c r="H164" s="0" t="n">
        <v>-17.1</v>
      </c>
      <c r="I164" s="0" t="n">
        <v>-16.2</v>
      </c>
      <c r="J164" s="0" t="n">
        <v>-15.6</v>
      </c>
      <c r="K164" s="0" t="n">
        <v>-15.1</v>
      </c>
      <c r="L164" s="0" t="n">
        <v>-14.9</v>
      </c>
      <c r="M164" s="0" t="n">
        <v>-14.9</v>
      </c>
      <c r="N164" s="0" t="n">
        <v>-14.6</v>
      </c>
      <c r="O164" s="0" t="n">
        <v>-14.1</v>
      </c>
      <c r="P164" s="0" t="n">
        <v>-13.6</v>
      </c>
      <c r="Q164" s="0" t="n">
        <v>-13.4</v>
      </c>
      <c r="R164" s="0" t="n">
        <v>-13.1</v>
      </c>
      <c r="S164" s="0" t="n">
        <v>1</v>
      </c>
      <c r="T164" s="0" t="n">
        <f aca="false">VALUE(VLOOKUP(B164,FgeoVlookup,2,FALSE()))</f>
        <v>1</v>
      </c>
      <c r="U164" s="111" t="s">
        <v>381</v>
      </c>
      <c r="V164" s="111"/>
    </row>
    <row r="165" customFormat="false" ht="12.75" hidden="false" customHeight="false" outlineLevel="0" collapsed="false">
      <c r="B165" s="0" t="s">
        <v>398</v>
      </c>
      <c r="C165" s="0" t="s">
        <v>398</v>
      </c>
      <c r="D165" s="0" t="n">
        <v>102633</v>
      </c>
      <c r="E165" s="0" t="n">
        <v>59.42</v>
      </c>
      <c r="F165" s="0" t="n">
        <v>16.1</v>
      </c>
      <c r="G165" s="0" t="n">
        <v>-18.2</v>
      </c>
      <c r="H165" s="0" t="n">
        <v>-17.6</v>
      </c>
      <c r="I165" s="0" t="n">
        <v>-16.9</v>
      </c>
      <c r="J165" s="0" t="n">
        <v>-16.2</v>
      </c>
      <c r="K165" s="0" t="n">
        <v>-15.7</v>
      </c>
      <c r="L165" s="0" t="n">
        <v>-15.6</v>
      </c>
      <c r="M165" s="0" t="n">
        <v>-15.1</v>
      </c>
      <c r="N165" s="0" t="n">
        <v>-14.9</v>
      </c>
      <c r="O165" s="0" t="n">
        <v>-14.6</v>
      </c>
      <c r="P165" s="0" t="n">
        <v>-14.1</v>
      </c>
      <c r="Q165" s="0" t="n">
        <v>-14</v>
      </c>
      <c r="R165" s="0" t="n">
        <v>-13.9</v>
      </c>
      <c r="S165" s="0" t="n">
        <v>1</v>
      </c>
      <c r="T165" s="0" t="n">
        <f aca="false">VALUE(VLOOKUP(B165,FgeoVlookup,2,FALSE()))</f>
        <v>1</v>
      </c>
      <c r="U165" s="111" t="s">
        <v>398</v>
      </c>
    </row>
    <row r="166" customFormat="false" ht="12.75" hidden="false" customHeight="false" outlineLevel="0" collapsed="false">
      <c r="B166" s="0" t="s">
        <v>399</v>
      </c>
      <c r="C166" s="0" t="s">
        <v>399</v>
      </c>
      <c r="D166" s="0" t="n">
        <v>102202</v>
      </c>
      <c r="E166" s="0" t="n">
        <v>57.87</v>
      </c>
      <c r="F166" s="0" t="n">
        <v>11.97</v>
      </c>
      <c r="G166" s="0" t="n">
        <v>-13</v>
      </c>
      <c r="H166" s="0" t="n">
        <v>-12.6</v>
      </c>
      <c r="I166" s="0" t="n">
        <v>-12</v>
      </c>
      <c r="J166" s="0" t="n">
        <v>-11.6</v>
      </c>
      <c r="K166" s="0" t="n">
        <v>-11.6</v>
      </c>
      <c r="L166" s="0" t="n">
        <v>-11.4</v>
      </c>
      <c r="M166" s="0" t="n">
        <v>-11.1</v>
      </c>
      <c r="N166" s="0" t="n">
        <v>-11.1</v>
      </c>
      <c r="O166" s="0" t="n">
        <v>-11</v>
      </c>
      <c r="P166" s="0" t="n">
        <v>-10.6</v>
      </c>
      <c r="Q166" s="0" t="n">
        <v>-10.4</v>
      </c>
      <c r="R166" s="0" t="n">
        <v>-10.2</v>
      </c>
      <c r="S166" s="0" t="n">
        <v>0.9</v>
      </c>
      <c r="T166" s="0" t="n">
        <f aca="false">VALUE(VLOOKUP(B166,FgeoVlookup,2,FALSE()))</f>
        <v>0.9</v>
      </c>
      <c r="U166" s="111" t="s">
        <v>399</v>
      </c>
    </row>
    <row r="167" customFormat="false" ht="12.75" hidden="false" customHeight="false" outlineLevel="0" collapsed="false">
      <c r="B167" s="0" t="s">
        <v>568</v>
      </c>
      <c r="C167" s="0" t="s">
        <v>568</v>
      </c>
      <c r="D167" s="0" t="n">
        <v>102124</v>
      </c>
      <c r="E167" s="0" t="n">
        <v>55.79</v>
      </c>
      <c r="F167" s="0" t="n">
        <v>13.11</v>
      </c>
      <c r="G167" s="0" t="n">
        <v>-11</v>
      </c>
      <c r="H167" s="0" t="n">
        <v>-10.4</v>
      </c>
      <c r="I167" s="0" t="n">
        <v>-9.6</v>
      </c>
      <c r="J167" s="0" t="n">
        <v>-9.4</v>
      </c>
      <c r="K167" s="0" t="n">
        <v>-9.2</v>
      </c>
      <c r="L167" s="0" t="n">
        <v>-9.1</v>
      </c>
      <c r="M167" s="0" t="n">
        <v>-9</v>
      </c>
      <c r="N167" s="0" t="n">
        <v>-8.6</v>
      </c>
      <c r="O167" s="0" t="n">
        <v>-8.5</v>
      </c>
      <c r="P167" s="0" t="n">
        <v>-8.3</v>
      </c>
      <c r="Q167" s="0" t="n">
        <v>-7.9</v>
      </c>
      <c r="R167" s="0" t="n">
        <v>-7.8</v>
      </c>
      <c r="S167" s="0" t="n">
        <v>0.9</v>
      </c>
      <c r="T167" s="0" t="n">
        <f aca="false">VALUE(VLOOKUP(B167,FgeoVlookup,2,FALSE()))</f>
        <v>0.9</v>
      </c>
      <c r="U167" s="111" t="s">
        <v>568</v>
      </c>
    </row>
    <row r="168" customFormat="false" ht="12.75" hidden="false" customHeight="false" outlineLevel="0" collapsed="false">
      <c r="B168" s="0" t="s">
        <v>417</v>
      </c>
      <c r="C168" s="0" t="s">
        <v>417</v>
      </c>
      <c r="D168" s="0" t="n">
        <v>102602</v>
      </c>
      <c r="E168" s="0" t="n">
        <v>59.51</v>
      </c>
      <c r="F168" s="0" t="n">
        <v>16.01</v>
      </c>
      <c r="G168" s="0" t="n">
        <v>-18.3</v>
      </c>
      <c r="H168" s="0" t="n">
        <v>-17.6</v>
      </c>
      <c r="I168" s="0" t="n">
        <v>-17.1</v>
      </c>
      <c r="J168" s="0" t="n">
        <v>-16.4</v>
      </c>
      <c r="K168" s="0" t="n">
        <v>-15.9</v>
      </c>
      <c r="L168" s="0" t="n">
        <v>-15.8</v>
      </c>
      <c r="M168" s="0" t="n">
        <v>-15.4</v>
      </c>
      <c r="N168" s="0" t="n">
        <v>-15.1</v>
      </c>
      <c r="O168" s="0" t="n">
        <v>-14.8</v>
      </c>
      <c r="P168" s="0" t="n">
        <v>-14.4</v>
      </c>
      <c r="Q168" s="0" t="n">
        <v>-14.2</v>
      </c>
      <c r="R168" s="0" t="n">
        <v>-14.1</v>
      </c>
      <c r="S168" s="0" t="n">
        <v>1</v>
      </c>
      <c r="T168" s="0" t="n">
        <f aca="false">VALUE(VLOOKUP(B168,FgeoVlookup,2,FALSE()))</f>
        <v>1</v>
      </c>
      <c r="U168" s="111" t="s">
        <v>417</v>
      </c>
    </row>
    <row r="169" customFormat="false" ht="12.75" hidden="false" customHeight="false" outlineLevel="0" collapsed="false">
      <c r="B169" s="0" t="s">
        <v>372</v>
      </c>
      <c r="C169" s="0" t="s">
        <v>372</v>
      </c>
      <c r="D169" s="0" t="n">
        <v>102108</v>
      </c>
      <c r="E169" s="0" t="n">
        <v>55.88</v>
      </c>
      <c r="F169" s="0" t="n">
        <v>12.84</v>
      </c>
      <c r="G169" s="0" t="n">
        <v>-10.5</v>
      </c>
      <c r="H169" s="0" t="n">
        <v>-9.8</v>
      </c>
      <c r="I169" s="0" t="n">
        <v>-9</v>
      </c>
      <c r="J169" s="0" t="n">
        <v>-9</v>
      </c>
      <c r="K169" s="0" t="n">
        <v>-8.5</v>
      </c>
      <c r="L169" s="0" t="n">
        <v>-8.5</v>
      </c>
      <c r="M169" s="0" t="n">
        <v>-8.5</v>
      </c>
      <c r="N169" s="0" t="n">
        <v>-8.3</v>
      </c>
      <c r="O169" s="0" t="n">
        <v>-8</v>
      </c>
      <c r="P169" s="0" t="n">
        <v>-7.9</v>
      </c>
      <c r="Q169" s="0" t="n">
        <v>-7.6</v>
      </c>
      <c r="R169" s="0" t="n">
        <v>-7.5</v>
      </c>
      <c r="S169" s="0" t="n">
        <v>0.8</v>
      </c>
      <c r="T169" s="0" t="n">
        <f aca="false">VALUE(VLOOKUP(B169,FgeoVlookup,2,FALSE()))</f>
        <v>0.8</v>
      </c>
      <c r="U169" s="111" t="s">
        <v>372</v>
      </c>
    </row>
    <row r="170" customFormat="false" ht="12.75" hidden="false" customHeight="false" outlineLevel="0" collapsed="false">
      <c r="B170" s="0" t="s">
        <v>400</v>
      </c>
      <c r="C170" s="0" t="s">
        <v>400</v>
      </c>
      <c r="D170" s="0" t="n">
        <v>102511</v>
      </c>
      <c r="E170" s="0" t="n">
        <v>58.98</v>
      </c>
      <c r="F170" s="0" t="n">
        <v>14.62</v>
      </c>
      <c r="G170" s="0" t="n">
        <v>-17</v>
      </c>
      <c r="H170" s="0" t="n">
        <v>-16.4</v>
      </c>
      <c r="I170" s="0" t="n">
        <v>-15.6</v>
      </c>
      <c r="J170" s="0" t="n">
        <v>-15.4</v>
      </c>
      <c r="K170" s="0" t="n">
        <v>-15</v>
      </c>
      <c r="L170" s="0" t="n">
        <v>-14.6</v>
      </c>
      <c r="M170" s="0" t="n">
        <v>-14.5</v>
      </c>
      <c r="N170" s="0" t="n">
        <v>-14.4</v>
      </c>
      <c r="O170" s="0" t="n">
        <v>-13.9</v>
      </c>
      <c r="P170" s="0" t="n">
        <v>-13.5</v>
      </c>
      <c r="Q170" s="0" t="n">
        <v>-13</v>
      </c>
      <c r="R170" s="0" t="n">
        <v>-12.9</v>
      </c>
      <c r="S170" s="0" t="n">
        <v>1</v>
      </c>
      <c r="T170" s="0" t="n">
        <f aca="false">VALUE(VLOOKUP(B170,FgeoVlookup,2,FALSE()))</f>
        <v>1</v>
      </c>
      <c r="U170" s="111" t="s">
        <v>400</v>
      </c>
    </row>
    <row r="171" customFormat="false" ht="12.75" hidden="false" customHeight="false" outlineLevel="0" collapsed="false">
      <c r="B171" s="0" t="s">
        <v>419</v>
      </c>
      <c r="C171" s="0" t="s">
        <v>419</v>
      </c>
      <c r="D171" s="0" t="n">
        <v>102529</v>
      </c>
      <c r="E171" s="0" t="n">
        <v>59.17</v>
      </c>
      <c r="F171" s="0" t="n">
        <v>14.87</v>
      </c>
      <c r="G171" s="0" t="n">
        <v>-17.9</v>
      </c>
      <c r="H171" s="0" t="n">
        <v>-17.1</v>
      </c>
      <c r="I171" s="0" t="n">
        <v>-16.2</v>
      </c>
      <c r="J171" s="0" t="n">
        <v>-15.6</v>
      </c>
      <c r="K171" s="0" t="n">
        <v>-15.4</v>
      </c>
      <c r="L171" s="0" t="n">
        <v>-15.1</v>
      </c>
      <c r="M171" s="0" t="n">
        <v>-15</v>
      </c>
      <c r="N171" s="0" t="n">
        <v>-14.7</v>
      </c>
      <c r="O171" s="0" t="n">
        <v>-14.4</v>
      </c>
      <c r="P171" s="0" t="n">
        <v>-14</v>
      </c>
      <c r="Q171" s="0" t="n">
        <v>-13.5</v>
      </c>
      <c r="R171" s="0" t="n">
        <v>-13.4</v>
      </c>
      <c r="S171" s="0" t="n">
        <v>1</v>
      </c>
      <c r="T171" s="0" t="n">
        <f aca="false">VALUE(VLOOKUP(B171,FgeoVlookup,2,FALSE()))</f>
        <v>1</v>
      </c>
      <c r="U171" s="111" t="s">
        <v>419</v>
      </c>
    </row>
    <row r="172" customFormat="false" ht="12.75" hidden="false" customHeight="false" outlineLevel="0" collapsed="false">
      <c r="B172" s="0" t="s">
        <v>458</v>
      </c>
      <c r="C172" s="0" t="s">
        <v>458</v>
      </c>
      <c r="D172" s="0" t="n">
        <v>102706</v>
      </c>
      <c r="E172" s="0" t="n">
        <v>60.72</v>
      </c>
      <c r="F172" s="0" t="n">
        <v>15.03</v>
      </c>
      <c r="G172" s="0" t="n">
        <v>-22.8</v>
      </c>
      <c r="H172" s="0" t="n">
        <v>-21.7</v>
      </c>
      <c r="I172" s="0" t="n">
        <v>-20.9</v>
      </c>
      <c r="J172" s="0" t="n">
        <v>-20.2</v>
      </c>
      <c r="K172" s="0" t="n">
        <v>-19.9</v>
      </c>
      <c r="L172" s="0" t="n">
        <v>-19.2</v>
      </c>
      <c r="M172" s="0" t="n">
        <v>-19.1</v>
      </c>
      <c r="N172" s="0" t="n">
        <v>-18.9</v>
      </c>
      <c r="O172" s="0" t="n">
        <v>-18.2</v>
      </c>
      <c r="P172" s="0" t="n">
        <v>-18.2</v>
      </c>
      <c r="Q172" s="0" t="n">
        <v>-17.9</v>
      </c>
      <c r="R172" s="0" t="n">
        <v>-17.5</v>
      </c>
      <c r="S172" s="0" t="n">
        <v>1.2</v>
      </c>
      <c r="T172" s="0" t="n">
        <f aca="false">VALUE(VLOOKUP(B172,FgeoVlookup,2,FALSE()))</f>
        <v>1.2</v>
      </c>
      <c r="U172" s="316" t="s">
        <v>458</v>
      </c>
    </row>
    <row r="173" customFormat="false" ht="12.75" hidden="false" customHeight="false" outlineLevel="0" collapsed="false">
      <c r="B173" s="0" t="s">
        <v>418</v>
      </c>
      <c r="C173" s="0" t="s">
        <v>418</v>
      </c>
      <c r="D173" s="0" t="n">
        <v>102203</v>
      </c>
      <c r="E173" s="0" t="n">
        <v>57.77</v>
      </c>
      <c r="F173" s="0" t="n">
        <v>12.28</v>
      </c>
      <c r="G173" s="0" t="n">
        <v>-14</v>
      </c>
      <c r="H173" s="0" t="n">
        <v>-13.2</v>
      </c>
      <c r="I173" s="0" t="n">
        <v>-12.3</v>
      </c>
      <c r="J173" s="0" t="n">
        <v>-11.8</v>
      </c>
      <c r="K173" s="0" t="n">
        <v>-11.8</v>
      </c>
      <c r="L173" s="0" t="n">
        <v>-11.8</v>
      </c>
      <c r="M173" s="0" t="n">
        <v>-11.8</v>
      </c>
      <c r="N173" s="0" t="n">
        <v>-11.7</v>
      </c>
      <c r="O173" s="0" t="n">
        <v>-11.3</v>
      </c>
      <c r="P173" s="0" t="n">
        <v>-11.2</v>
      </c>
      <c r="Q173" s="0" t="n">
        <v>-10.9</v>
      </c>
      <c r="R173" s="0" t="n">
        <v>-10.5</v>
      </c>
      <c r="S173" s="0" t="n">
        <v>0.9</v>
      </c>
      <c r="T173" s="0" t="n">
        <f aca="false">VALUE(VLOOKUP(B173,FgeoVlookup,2,FALSE()))</f>
        <v>0.9</v>
      </c>
      <c r="U173" s="111" t="s">
        <v>418</v>
      </c>
    </row>
    <row r="174" customFormat="false" ht="12.75" hidden="false" customHeight="false" outlineLevel="0" collapsed="false">
      <c r="B174" s="0" t="s">
        <v>611</v>
      </c>
      <c r="C174" s="0" t="s">
        <v>611</v>
      </c>
      <c r="D174" s="0" t="n">
        <v>102213</v>
      </c>
      <c r="E174" s="0" t="n">
        <v>58.5</v>
      </c>
      <c r="F174" s="0" t="n">
        <v>13.15</v>
      </c>
      <c r="G174" s="0" t="n">
        <v>-15.2</v>
      </c>
      <c r="H174" s="0" t="n">
        <v>-14.8</v>
      </c>
      <c r="I174" s="0" t="n">
        <v>-13.6</v>
      </c>
      <c r="J174" s="0" t="n">
        <v>-13.3</v>
      </c>
      <c r="K174" s="0" t="n">
        <v>-13.1</v>
      </c>
      <c r="L174" s="0" t="n">
        <v>-12.8</v>
      </c>
      <c r="M174" s="0" t="n">
        <v>-12.8</v>
      </c>
      <c r="N174" s="0" t="n">
        <v>-12.5</v>
      </c>
      <c r="O174" s="0" t="n">
        <v>-12.2</v>
      </c>
      <c r="P174" s="0" t="n">
        <v>-11.7</v>
      </c>
      <c r="Q174" s="0" t="n">
        <v>-11.3</v>
      </c>
      <c r="R174" s="0" t="n">
        <v>-11</v>
      </c>
      <c r="S174" s="0" t="n">
        <v>1</v>
      </c>
      <c r="T174" s="0" t="n">
        <f aca="false">VALUE(VLOOKUP(B174,FgeoVlookup,2,FALSE()))</f>
        <v>1</v>
      </c>
      <c r="U174" s="111" t="s">
        <v>611</v>
      </c>
    </row>
    <row r="175" customFormat="false" ht="12.75" hidden="false" customHeight="false" outlineLevel="0" collapsed="false">
      <c r="B175" s="0" t="s">
        <v>613</v>
      </c>
      <c r="C175" s="0" t="s">
        <v>613</v>
      </c>
      <c r="D175" s="0" t="n">
        <v>102253</v>
      </c>
      <c r="E175" s="0" t="n">
        <v>58.13</v>
      </c>
      <c r="F175" s="0" t="n">
        <v>12.13</v>
      </c>
      <c r="G175" s="0" t="n">
        <v>-14.5</v>
      </c>
      <c r="H175" s="0" t="n">
        <v>-14</v>
      </c>
      <c r="I175" s="0" t="n">
        <v>-13.4</v>
      </c>
      <c r="J175" s="0" t="n">
        <v>-13.1</v>
      </c>
      <c r="K175" s="0" t="n">
        <v>-13</v>
      </c>
      <c r="L175" s="0" t="n">
        <v>-12.8</v>
      </c>
      <c r="M175" s="0" t="n">
        <v>-12.4</v>
      </c>
      <c r="N175" s="0" t="n">
        <v>-12.4</v>
      </c>
      <c r="O175" s="0" t="n">
        <v>-12.3</v>
      </c>
      <c r="P175" s="0" t="n">
        <v>-11.8</v>
      </c>
      <c r="Q175" s="0" t="n">
        <v>-11.6</v>
      </c>
      <c r="R175" s="0" t="n">
        <v>-11.4</v>
      </c>
      <c r="S175" s="0" t="n">
        <v>1</v>
      </c>
      <c r="T175" s="0" t="n">
        <f aca="false">VALUE(VLOOKUP(B175,FgeoVlookup,2,FALSE()))</f>
        <v>1</v>
      </c>
      <c r="U175" s="111" t="s">
        <v>613</v>
      </c>
    </row>
    <row r="176" customFormat="false" ht="12.75" hidden="false" customHeight="false" outlineLevel="0" collapsed="false">
      <c r="B176" s="0" t="s">
        <v>517</v>
      </c>
      <c r="C176" s="0" t="s">
        <v>517</v>
      </c>
      <c r="D176" s="0" t="n">
        <v>102515</v>
      </c>
      <c r="E176" s="0" t="n">
        <v>59.59</v>
      </c>
      <c r="F176" s="0" t="n">
        <v>15.23</v>
      </c>
      <c r="G176" s="0" t="n">
        <v>-18.7</v>
      </c>
      <c r="H176" s="0" t="n">
        <v>-17.8</v>
      </c>
      <c r="I176" s="0" t="n">
        <v>-17.2</v>
      </c>
      <c r="J176" s="0" t="n">
        <v>-16.6</v>
      </c>
      <c r="K176" s="0" t="n">
        <v>-16</v>
      </c>
      <c r="L176" s="0" t="n">
        <v>-15.8</v>
      </c>
      <c r="M176" s="0" t="n">
        <v>-15.6</v>
      </c>
      <c r="N176" s="0" t="n">
        <v>-15.4</v>
      </c>
      <c r="O176" s="0" t="n">
        <v>-15</v>
      </c>
      <c r="P176" s="0" t="n">
        <v>-14.6</v>
      </c>
      <c r="Q176" s="0" t="n">
        <v>-14.4</v>
      </c>
      <c r="R176" s="0" t="n">
        <v>-14.2</v>
      </c>
      <c r="S176" s="0" t="n">
        <v>1.1</v>
      </c>
      <c r="T176" s="0" t="n">
        <f aca="false">VALUE(VLOOKUP(B176,FgeoVlookup,2,FALSE()))</f>
        <v>1.1</v>
      </c>
      <c r="U176" s="111" t="s">
        <v>517</v>
      </c>
    </row>
    <row r="177" customFormat="false" ht="12.75" hidden="false" customHeight="false" outlineLevel="0" collapsed="false">
      <c r="B177" s="0" t="s">
        <v>494</v>
      </c>
      <c r="C177" s="0" t="s">
        <v>494</v>
      </c>
      <c r="D177" s="0" t="n">
        <v>102721</v>
      </c>
      <c r="E177" s="0" t="n">
        <v>61.83</v>
      </c>
      <c r="F177" s="0" t="n">
        <v>16.1</v>
      </c>
      <c r="G177" s="0" t="n">
        <v>-23.2</v>
      </c>
      <c r="H177" s="0" t="n">
        <v>-22.7</v>
      </c>
      <c r="I177" s="0" t="n">
        <v>-22.1</v>
      </c>
      <c r="J177" s="0" t="n">
        <v>-21.3</v>
      </c>
      <c r="K177" s="0" t="n">
        <v>-20.4</v>
      </c>
      <c r="L177" s="0" t="n">
        <v>-19.9</v>
      </c>
      <c r="M177" s="0" t="n">
        <v>-19.3</v>
      </c>
      <c r="N177" s="0" t="n">
        <v>-19</v>
      </c>
      <c r="O177" s="0" t="n">
        <v>-18.8</v>
      </c>
      <c r="P177" s="0" t="n">
        <v>-18.6</v>
      </c>
      <c r="Q177" s="0" t="n">
        <v>-18.1</v>
      </c>
      <c r="R177" s="0" t="n">
        <v>-17.8</v>
      </c>
      <c r="S177" s="0" t="n">
        <v>1.3</v>
      </c>
      <c r="T177" s="0" t="n">
        <f aca="false">VALUE(VLOOKUP(B177,FgeoVlookup,2,FALSE()))</f>
        <v>1.3</v>
      </c>
      <c r="U177" s="316" t="s">
        <v>494</v>
      </c>
    </row>
    <row r="178" customFormat="false" ht="12.75" hidden="false" customHeight="false" outlineLevel="0" collapsed="false">
      <c r="B178" s="0" t="s">
        <v>391</v>
      </c>
      <c r="C178" s="0" t="s">
        <v>391</v>
      </c>
      <c r="D178" s="0" t="n">
        <v>102135</v>
      </c>
      <c r="E178" s="0" t="n">
        <v>55.67</v>
      </c>
      <c r="F178" s="0" t="n">
        <v>13.08</v>
      </c>
      <c r="G178" s="0" t="n">
        <v>-10.7</v>
      </c>
      <c r="H178" s="0" t="n">
        <v>-9.6</v>
      </c>
      <c r="I178" s="0" t="n">
        <v>-9.1</v>
      </c>
      <c r="J178" s="0" t="n">
        <v>-8.9</v>
      </c>
      <c r="K178" s="0" t="n">
        <v>-8.8</v>
      </c>
      <c r="L178" s="0" t="n">
        <v>-8.7</v>
      </c>
      <c r="M178" s="0" t="n">
        <v>-8.5</v>
      </c>
      <c r="N178" s="0" t="n">
        <v>-8.3</v>
      </c>
      <c r="O178" s="0" t="n">
        <v>-8</v>
      </c>
      <c r="P178" s="0" t="n">
        <v>-7.7</v>
      </c>
      <c r="Q178" s="0" t="n">
        <v>-7.6</v>
      </c>
      <c r="R178" s="0" t="n">
        <v>-7.5</v>
      </c>
      <c r="S178" s="0" t="n">
        <v>0.8</v>
      </c>
      <c r="T178" s="0" t="n">
        <f aca="false">VALUE(VLOOKUP(B178,FgeoVlookup,2,FALSE()))</f>
        <v>0.8</v>
      </c>
      <c r="U178" s="111" t="s">
        <v>391</v>
      </c>
      <c r="V178" s="111" t="s">
        <v>539</v>
      </c>
    </row>
    <row r="179" customFormat="false" ht="12.75" hidden="false" customHeight="false" outlineLevel="0" collapsed="false">
      <c r="B179" s="0" t="s">
        <v>477</v>
      </c>
      <c r="C179" s="0" t="s">
        <v>477</v>
      </c>
      <c r="D179" s="0" t="n">
        <v>102701</v>
      </c>
      <c r="E179" s="0" t="n">
        <v>60.14</v>
      </c>
      <c r="F179" s="0" t="n">
        <v>15.2</v>
      </c>
      <c r="G179" s="0" t="n">
        <v>-20.7</v>
      </c>
      <c r="H179" s="0" t="n">
        <v>-19.8</v>
      </c>
      <c r="I179" s="0" t="n">
        <v>-19.1</v>
      </c>
      <c r="J179" s="0" t="n">
        <v>-18.6</v>
      </c>
      <c r="K179" s="0" t="n">
        <v>-18</v>
      </c>
      <c r="L179" s="0" t="n">
        <v>-17.7</v>
      </c>
      <c r="M179" s="0" t="n">
        <v>-17.2</v>
      </c>
      <c r="N179" s="0" t="n">
        <v>-17</v>
      </c>
      <c r="O179" s="0" t="n">
        <v>-16.6</v>
      </c>
      <c r="P179" s="0" t="n">
        <v>-16.3</v>
      </c>
      <c r="Q179" s="0" t="n">
        <v>-16.1</v>
      </c>
      <c r="R179" s="0" t="n">
        <v>-15.9</v>
      </c>
      <c r="S179" s="0" t="n">
        <v>1.2</v>
      </c>
      <c r="T179" s="0" t="n">
        <f aca="false">VALUE(VLOOKUP(B179,FgeoVlookup,2,FALSE()))</f>
        <v>1.2</v>
      </c>
      <c r="U179" s="316" t="s">
        <v>477</v>
      </c>
    </row>
    <row r="180" customFormat="false" ht="12.75" hidden="false" customHeight="false" outlineLevel="0" collapsed="false">
      <c r="B180" s="0" t="s">
        <v>428</v>
      </c>
      <c r="C180" s="0" t="s">
        <v>428</v>
      </c>
      <c r="D180" s="0" t="n">
        <v>102005</v>
      </c>
      <c r="E180" s="0" t="n">
        <v>65.59</v>
      </c>
      <c r="F180" s="0" t="n">
        <v>22.17</v>
      </c>
      <c r="G180" s="0" t="n">
        <v>-27.5</v>
      </c>
      <c r="H180" s="0" t="n">
        <v>-26.6</v>
      </c>
      <c r="I180" s="0" t="n">
        <v>-25.7</v>
      </c>
      <c r="J180" s="0" t="n">
        <v>-25</v>
      </c>
      <c r="K180" s="0" t="n">
        <v>-24.7</v>
      </c>
      <c r="L180" s="0" t="n">
        <v>-24.4</v>
      </c>
      <c r="M180" s="0" t="n">
        <v>-23.9</v>
      </c>
      <c r="N180" s="0" t="n">
        <v>-23.5</v>
      </c>
      <c r="O180" s="0" t="n">
        <v>-23.1</v>
      </c>
      <c r="P180" s="0" t="n">
        <v>-22.8</v>
      </c>
      <c r="Q180" s="0" t="n">
        <v>-22.6</v>
      </c>
      <c r="R180" s="0" t="n">
        <v>-22.4</v>
      </c>
      <c r="S180" s="0" t="n">
        <v>1.5</v>
      </c>
      <c r="T180" s="0" t="n">
        <f aca="false">VALUE(VLOOKUP(B180,FgeoVlookup,2,FALSE()))</f>
        <v>1.5</v>
      </c>
      <c r="U180" s="111" t="s">
        <v>428</v>
      </c>
    </row>
    <row r="181" customFormat="false" ht="12.75" hidden="false" customHeight="false" outlineLevel="0" collapsed="false">
      <c r="B181" s="0" t="s">
        <v>570</v>
      </c>
      <c r="C181" s="0" t="s">
        <v>570</v>
      </c>
      <c r="D181" s="0" t="n">
        <v>102106</v>
      </c>
      <c r="E181" s="0" t="n">
        <v>55.71</v>
      </c>
      <c r="F181" s="0" t="n">
        <v>13.2</v>
      </c>
      <c r="G181" s="0" t="n">
        <v>-11.4</v>
      </c>
      <c r="H181" s="0" t="n">
        <v>-10.7</v>
      </c>
      <c r="I181" s="0" t="n">
        <v>-9.8</v>
      </c>
      <c r="J181" s="0" t="n">
        <v>-9.8</v>
      </c>
      <c r="K181" s="0" t="n">
        <v>-9.6</v>
      </c>
      <c r="L181" s="0" t="n">
        <v>-9.5</v>
      </c>
      <c r="M181" s="0" t="n">
        <v>-9.3</v>
      </c>
      <c r="N181" s="0" t="n">
        <v>-9</v>
      </c>
      <c r="O181" s="0" t="n">
        <v>-8.7</v>
      </c>
      <c r="P181" s="0" t="n">
        <v>-8.6</v>
      </c>
      <c r="Q181" s="0" t="n">
        <v>-8.2</v>
      </c>
      <c r="R181" s="0" t="n">
        <v>-8.1</v>
      </c>
      <c r="S181" s="0" t="n">
        <v>0.9</v>
      </c>
      <c r="T181" s="0" t="n">
        <f aca="false">VALUE(VLOOKUP(B181,FgeoVlookup,2,FALSE()))</f>
        <v>0.9</v>
      </c>
      <c r="U181" s="111" t="s">
        <v>570</v>
      </c>
    </row>
    <row r="182" customFormat="false" ht="12.75" hidden="false" customHeight="false" outlineLevel="0" collapsed="false">
      <c r="B182" s="0" t="s">
        <v>488</v>
      </c>
      <c r="C182" s="0" t="s">
        <v>488</v>
      </c>
      <c r="D182" s="0" t="n">
        <v>102907</v>
      </c>
      <c r="E182" s="0" t="n">
        <v>64.59</v>
      </c>
      <c r="F182" s="0" t="n">
        <v>18.69</v>
      </c>
      <c r="G182" s="0" t="n">
        <v>-30.5</v>
      </c>
      <c r="H182" s="0" t="n">
        <v>-29.3</v>
      </c>
      <c r="I182" s="0" t="n">
        <v>-28.4</v>
      </c>
      <c r="J182" s="0" t="n">
        <v>-27.7</v>
      </c>
      <c r="K182" s="0" t="n">
        <v>-26.9</v>
      </c>
      <c r="L182" s="0" t="n">
        <v>-26.5</v>
      </c>
      <c r="M182" s="0" t="n">
        <v>-25.9</v>
      </c>
      <c r="N182" s="0" t="n">
        <v>-25.3</v>
      </c>
      <c r="O182" s="0" t="n">
        <v>-25.1</v>
      </c>
      <c r="P182" s="0" t="n">
        <v>-25.1</v>
      </c>
      <c r="Q182" s="0" t="n">
        <v>-24.9</v>
      </c>
      <c r="R182" s="0" t="n">
        <v>-24.8</v>
      </c>
      <c r="S182" s="0" t="n">
        <v>1.5</v>
      </c>
      <c r="T182" s="0" t="n">
        <f aca="false">VALUE(VLOOKUP(B182,FgeoVlookup,2,FALSE()))</f>
        <v>1.5</v>
      </c>
      <c r="U182" s="111" t="s">
        <v>488</v>
      </c>
    </row>
    <row r="183" customFormat="false" ht="12.75" hidden="false" customHeight="false" outlineLevel="0" collapsed="false">
      <c r="B183" s="0" t="s">
        <v>437</v>
      </c>
      <c r="C183" s="0" t="s">
        <v>437</v>
      </c>
      <c r="D183" s="0" t="n">
        <v>102209</v>
      </c>
      <c r="E183" s="0" t="n">
        <v>58.28</v>
      </c>
      <c r="F183" s="0" t="n">
        <v>11.44</v>
      </c>
      <c r="G183" s="0" t="n">
        <v>-12.9</v>
      </c>
      <c r="H183" s="0" t="n">
        <v>-12.1</v>
      </c>
      <c r="I183" s="0" t="n">
        <v>-11.5</v>
      </c>
      <c r="J183" s="0" t="n">
        <v>-11.1</v>
      </c>
      <c r="K183" s="0" t="n">
        <v>-10.7</v>
      </c>
      <c r="L183" s="0" t="n">
        <v>-10.6</v>
      </c>
      <c r="M183" s="0" t="n">
        <v>-10.4</v>
      </c>
      <c r="N183" s="0" t="n">
        <v>-10.3</v>
      </c>
      <c r="O183" s="0" t="n">
        <v>-10.2</v>
      </c>
      <c r="P183" s="0" t="n">
        <v>-9.8</v>
      </c>
      <c r="Q183" s="0" t="n">
        <v>-9.6</v>
      </c>
      <c r="R183" s="0" t="n">
        <v>-9.5</v>
      </c>
      <c r="S183" s="0" t="n">
        <v>0.9</v>
      </c>
      <c r="T183" s="0" t="n">
        <f aca="false">VALUE(VLOOKUP(B183,FgeoVlookup,2,FALSE()))</f>
        <v>0.9</v>
      </c>
      <c r="U183" s="111" t="s">
        <v>437</v>
      </c>
    </row>
    <row r="184" customFormat="false" ht="12.75" hidden="false" customHeight="false" outlineLevel="0" collapsed="false">
      <c r="B184" s="0" t="s">
        <v>411</v>
      </c>
      <c r="C184" s="0" t="s">
        <v>411</v>
      </c>
      <c r="D184" s="0" t="n">
        <v>102105</v>
      </c>
      <c r="E184" s="0" t="n">
        <v>55.59</v>
      </c>
      <c r="F184" s="0" t="n">
        <v>13.02</v>
      </c>
      <c r="G184" s="0" t="n">
        <v>-10.2</v>
      </c>
      <c r="H184" s="0" t="n">
        <v>-9.2</v>
      </c>
      <c r="I184" s="0" t="n">
        <v>-8.7</v>
      </c>
      <c r="J184" s="0" t="n">
        <v>-8.4</v>
      </c>
      <c r="K184" s="0" t="n">
        <v>-8.4</v>
      </c>
      <c r="L184" s="0" t="n">
        <v>-8.4</v>
      </c>
      <c r="M184" s="0" t="n">
        <v>-8.2</v>
      </c>
      <c r="N184" s="0" t="n">
        <v>-7.9</v>
      </c>
      <c r="O184" s="0" t="n">
        <v>-7.5</v>
      </c>
      <c r="P184" s="0" t="n">
        <v>-7.4</v>
      </c>
      <c r="Q184" s="0" t="n">
        <v>-7.2</v>
      </c>
      <c r="R184" s="0" t="n">
        <v>-7.1</v>
      </c>
      <c r="S184" s="0" t="n">
        <v>0.8</v>
      </c>
      <c r="T184" s="0" t="n">
        <f aca="false">VALUE(VLOOKUP(B184,FgeoVlookup,2,FALSE()))</f>
        <v>0.8</v>
      </c>
      <c r="U184" s="111" t="s">
        <v>411</v>
      </c>
    </row>
    <row r="185" customFormat="false" ht="12.75" hidden="false" customHeight="false" outlineLevel="0" collapsed="false">
      <c r="A185" s="0" t="s">
        <v>680</v>
      </c>
      <c r="B185" s="326" t="s">
        <v>550</v>
      </c>
      <c r="C185" s="0" t="s">
        <v>680</v>
      </c>
      <c r="D185" s="0" t="n">
        <v>102704</v>
      </c>
      <c r="E185" s="0" t="n">
        <v>60.68</v>
      </c>
      <c r="F185" s="0" t="n">
        <v>13.71</v>
      </c>
      <c r="G185" s="0" t="n">
        <v>-25.9</v>
      </c>
      <c r="H185" s="0" t="n">
        <v>-24.3</v>
      </c>
      <c r="I185" s="0" t="n">
        <v>-23.8</v>
      </c>
      <c r="J185" s="0" t="n">
        <v>-23.2</v>
      </c>
      <c r="K185" s="0" t="n">
        <v>-22.6</v>
      </c>
      <c r="L185" s="0" t="n">
        <v>-22</v>
      </c>
      <c r="M185" s="0" t="n">
        <v>-21.8</v>
      </c>
      <c r="N185" s="0" t="n">
        <v>-21.4</v>
      </c>
      <c r="O185" s="0" t="n">
        <v>-21</v>
      </c>
      <c r="P185" s="0" t="n">
        <v>-20.6</v>
      </c>
      <c r="Q185" s="0" t="n">
        <v>-20.6</v>
      </c>
      <c r="R185" s="0" t="n">
        <v>-20.6</v>
      </c>
      <c r="S185" s="0" t="n">
        <v>1.3</v>
      </c>
      <c r="T185" s="0" t="n">
        <f aca="false">VALUE(VLOOKUP(B185,FgeoVlookup,2,FALSE()))</f>
        <v>1.3</v>
      </c>
      <c r="U185" s="316" t="s">
        <v>550</v>
      </c>
    </row>
    <row r="186" customFormat="false" ht="12.75" hidden="false" customHeight="false" outlineLevel="0" collapsed="false">
      <c r="B186" s="0" t="s">
        <v>526</v>
      </c>
      <c r="C186" s="0" t="s">
        <v>526</v>
      </c>
      <c r="D186" s="0" t="n">
        <v>102915</v>
      </c>
      <c r="E186" s="0" t="n">
        <v>65.18</v>
      </c>
      <c r="F186" s="0" t="n">
        <v>18.75</v>
      </c>
      <c r="G186" s="0" t="n">
        <v>-28.8</v>
      </c>
      <c r="H186" s="0" t="n">
        <v>-27.2</v>
      </c>
      <c r="I186" s="0" t="n">
        <v>-26.4</v>
      </c>
      <c r="J186" s="0" t="n">
        <v>-25.9</v>
      </c>
      <c r="K186" s="0" t="n">
        <v>-25.5</v>
      </c>
      <c r="L186" s="0" t="n">
        <v>-24.6</v>
      </c>
      <c r="M186" s="0" t="n">
        <v>-24.2</v>
      </c>
      <c r="N186" s="0" t="n">
        <v>-23.7</v>
      </c>
      <c r="O186" s="0" t="n">
        <v>-23.3</v>
      </c>
      <c r="P186" s="0" t="n">
        <v>-23.3</v>
      </c>
      <c r="Q186" s="0" t="n">
        <v>-23.3</v>
      </c>
      <c r="R186" s="0" t="n">
        <v>-23.2</v>
      </c>
      <c r="S186" s="0" t="n">
        <v>1.6</v>
      </c>
      <c r="T186" s="0" t="n">
        <f aca="false">VALUE(VLOOKUP(B186,FgeoVlookup,2,FALSE()))</f>
        <v>1.6</v>
      </c>
      <c r="U186" s="111" t="s">
        <v>526</v>
      </c>
    </row>
    <row r="187" customFormat="false" ht="12.75" hidden="false" customHeight="false" outlineLevel="0" collapsed="false">
      <c r="B187" s="0" t="s">
        <v>615</v>
      </c>
      <c r="C187" s="0" t="s">
        <v>615</v>
      </c>
      <c r="D187" s="0" t="n">
        <v>102219</v>
      </c>
      <c r="E187" s="0" t="n">
        <v>58.7</v>
      </c>
      <c r="F187" s="0" t="n">
        <v>13.84</v>
      </c>
      <c r="G187" s="0" t="n">
        <v>-15.1</v>
      </c>
      <c r="H187" s="0" t="n">
        <v>-14.5</v>
      </c>
      <c r="I187" s="0" t="n">
        <v>-13.5</v>
      </c>
      <c r="J187" s="0" t="n">
        <v>-13.5</v>
      </c>
      <c r="K187" s="0" t="n">
        <v>-13.1</v>
      </c>
      <c r="L187" s="0" t="n">
        <v>-12.9</v>
      </c>
      <c r="M187" s="0" t="n">
        <v>-12.7</v>
      </c>
      <c r="N187" s="0" t="n">
        <v>-12.5</v>
      </c>
      <c r="O187" s="0" t="n">
        <v>-12.1</v>
      </c>
      <c r="P187" s="0" t="n">
        <v>-11.7</v>
      </c>
      <c r="Q187" s="0" t="n">
        <v>-11.3</v>
      </c>
      <c r="R187" s="0" t="n">
        <v>-10.9</v>
      </c>
      <c r="S187" s="0" t="n">
        <v>1</v>
      </c>
      <c r="T187" s="0" t="n">
        <f aca="false">VALUE(VLOOKUP(B187,FgeoVlookup,2,FALSE()))</f>
        <v>1</v>
      </c>
      <c r="U187" s="111" t="s">
        <v>615</v>
      </c>
    </row>
    <row r="188" customFormat="false" ht="12.75" hidden="false" customHeight="false" outlineLevel="0" collapsed="false">
      <c r="B188" s="0" t="s">
        <v>617</v>
      </c>
      <c r="C188" s="0" t="s">
        <v>617</v>
      </c>
      <c r="D188" s="0" t="n">
        <v>102220</v>
      </c>
      <c r="E188" s="0" t="n">
        <v>58.7</v>
      </c>
      <c r="F188" s="0" t="n">
        <v>12.46</v>
      </c>
      <c r="G188" s="0" t="n">
        <v>-15.6</v>
      </c>
      <c r="H188" s="0" t="n">
        <v>-14.9</v>
      </c>
      <c r="I188" s="0" t="n">
        <v>-14.5</v>
      </c>
      <c r="J188" s="0" t="n">
        <v>-14</v>
      </c>
      <c r="K188" s="0" t="n">
        <v>-13.6</v>
      </c>
      <c r="L188" s="0" t="n">
        <v>-13.4</v>
      </c>
      <c r="M188" s="0" t="n">
        <v>-13.2</v>
      </c>
      <c r="N188" s="0" t="n">
        <v>-13.2</v>
      </c>
      <c r="O188" s="0" t="n">
        <v>-12.9</v>
      </c>
      <c r="P188" s="0" t="n">
        <v>-12.5</v>
      </c>
      <c r="Q188" s="0" t="n">
        <v>-12.1</v>
      </c>
      <c r="R188" s="0" t="n">
        <v>-11.8</v>
      </c>
      <c r="S188" s="0" t="n">
        <v>1</v>
      </c>
      <c r="T188" s="0" t="n">
        <f aca="false">VALUE(VLOOKUP(B188,FgeoVlookup,2,FALSE()))</f>
        <v>1</v>
      </c>
      <c r="U188" s="111" t="s">
        <v>617</v>
      </c>
    </row>
    <row r="189" customFormat="false" ht="12.75" hidden="false" customHeight="false" outlineLevel="0" collapsed="false">
      <c r="B189" s="0" t="s">
        <v>493</v>
      </c>
      <c r="C189" s="0" t="s">
        <v>493</v>
      </c>
      <c r="D189" s="0" t="n">
        <v>102716</v>
      </c>
      <c r="E189" s="0" t="n">
        <v>61.01</v>
      </c>
      <c r="F189" s="0" t="n">
        <v>14.55</v>
      </c>
      <c r="G189" s="0" t="n">
        <v>-24.1</v>
      </c>
      <c r="H189" s="0" t="n">
        <v>-22.6</v>
      </c>
      <c r="I189" s="0" t="n">
        <v>-21.7</v>
      </c>
      <c r="J189" s="0" t="n">
        <v>-21.4</v>
      </c>
      <c r="K189" s="0" t="n">
        <v>-20.8</v>
      </c>
      <c r="L189" s="0" t="n">
        <v>-20</v>
      </c>
      <c r="M189" s="0" t="n">
        <v>-19.9</v>
      </c>
      <c r="N189" s="0" t="n">
        <v>-19.6</v>
      </c>
      <c r="O189" s="0" t="n">
        <v>-19.1</v>
      </c>
      <c r="P189" s="0" t="n">
        <v>-18.8</v>
      </c>
      <c r="Q189" s="0" t="n">
        <v>-18.8</v>
      </c>
      <c r="R189" s="0" t="n">
        <v>-18.4</v>
      </c>
      <c r="S189" s="0" t="n">
        <v>1.2</v>
      </c>
      <c r="T189" s="0" t="n">
        <f aca="false">VALUE(VLOOKUP(B189,FgeoVlookup,2,FALSE()))</f>
        <v>1.2</v>
      </c>
      <c r="U189" s="316" t="s">
        <v>493</v>
      </c>
    </row>
    <row r="190" customFormat="false" ht="12.75" hidden="false" customHeight="false" outlineLevel="0" collapsed="false">
      <c r="B190" s="0" t="s">
        <v>443</v>
      </c>
      <c r="C190" s="0" t="s">
        <v>443</v>
      </c>
      <c r="D190" s="0" t="n">
        <v>102342</v>
      </c>
      <c r="E190" s="0" t="n">
        <v>57.92</v>
      </c>
      <c r="F190" s="0" t="n">
        <v>13.88</v>
      </c>
      <c r="G190" s="0" t="n">
        <v>-15.9</v>
      </c>
      <c r="H190" s="0" t="n">
        <v>-15.4</v>
      </c>
      <c r="I190" s="0" t="n">
        <v>-14.7</v>
      </c>
      <c r="J190" s="0" t="n">
        <v>-14.1</v>
      </c>
      <c r="K190" s="0" t="n">
        <v>-13.9</v>
      </c>
      <c r="L190" s="0" t="n">
        <v>-13.6</v>
      </c>
      <c r="M190" s="0" t="n">
        <v>-13.6</v>
      </c>
      <c r="N190" s="0" t="n">
        <v>-13.4</v>
      </c>
      <c r="O190" s="0" t="n">
        <v>-13.1</v>
      </c>
      <c r="P190" s="0" t="n">
        <v>-12.7</v>
      </c>
      <c r="Q190" s="0" t="n">
        <v>-12.3</v>
      </c>
      <c r="R190" s="0" t="n">
        <v>-11.9</v>
      </c>
      <c r="S190" s="0" t="n">
        <v>1</v>
      </c>
      <c r="T190" s="0" t="n">
        <f aca="false">VALUE(VLOOKUP(B190,FgeoVlookup,2,FALSE()))</f>
        <v>1</v>
      </c>
      <c r="U190" s="111" t="s">
        <v>443</v>
      </c>
    </row>
    <row r="191" customFormat="false" ht="12.75" hidden="false" customHeight="false" outlineLevel="0" collapsed="false">
      <c r="B191" s="0" t="s">
        <v>618</v>
      </c>
      <c r="C191" s="0" t="s">
        <v>618</v>
      </c>
      <c r="D191" s="0" t="n">
        <v>102234</v>
      </c>
      <c r="E191" s="0" t="n">
        <v>58.47</v>
      </c>
      <c r="F191" s="0" t="n">
        <v>11.69</v>
      </c>
      <c r="G191" s="0" t="n">
        <v>-14.3</v>
      </c>
      <c r="H191" s="0" t="n">
        <v>-13.7</v>
      </c>
      <c r="I191" s="0" t="n">
        <v>-13.2</v>
      </c>
      <c r="J191" s="0" t="n">
        <v>-12.9</v>
      </c>
      <c r="K191" s="0" t="n">
        <v>-12.5</v>
      </c>
      <c r="L191" s="0" t="n">
        <v>-12.4</v>
      </c>
      <c r="M191" s="0" t="n">
        <v>-12.4</v>
      </c>
      <c r="N191" s="0" t="n">
        <v>-12</v>
      </c>
      <c r="O191" s="0" t="n">
        <v>-11.9</v>
      </c>
      <c r="P191" s="0" t="n">
        <v>-11.6</v>
      </c>
      <c r="Q191" s="0" t="n">
        <v>-11.4</v>
      </c>
      <c r="R191" s="0" t="n">
        <v>-11</v>
      </c>
      <c r="S191" s="0" t="n">
        <v>1</v>
      </c>
      <c r="T191" s="0" t="n">
        <f aca="false">VALUE(VLOOKUP(B191,FgeoVlookup,2,FALSE()))</f>
        <v>1</v>
      </c>
      <c r="U191" s="111" t="s">
        <v>618</v>
      </c>
    </row>
    <row r="192" customFormat="false" ht="12.75" hidden="false" customHeight="false" outlineLevel="0" collapsed="false">
      <c r="B192" s="0" t="s">
        <v>525</v>
      </c>
      <c r="C192" s="0" t="s">
        <v>525</v>
      </c>
      <c r="D192" s="0" t="n">
        <v>102527</v>
      </c>
      <c r="E192" s="0" t="n">
        <v>59.83</v>
      </c>
      <c r="F192" s="0" t="n">
        <v>13.53</v>
      </c>
      <c r="G192" s="0" t="n">
        <v>-21.3</v>
      </c>
      <c r="H192" s="0" t="n">
        <v>-20.4</v>
      </c>
      <c r="I192" s="0" t="n">
        <v>-19.9</v>
      </c>
      <c r="J192" s="0" t="n">
        <v>-19.3</v>
      </c>
      <c r="K192" s="0" t="n">
        <v>-18.9</v>
      </c>
      <c r="L192" s="0" t="n">
        <v>-18.4</v>
      </c>
      <c r="M192" s="0" t="n">
        <v>-18.4</v>
      </c>
      <c r="N192" s="0" t="n">
        <v>-18.2</v>
      </c>
      <c r="O192" s="0" t="n">
        <v>-17.9</v>
      </c>
      <c r="P192" s="0" t="n">
        <v>-17.6</v>
      </c>
      <c r="Q192" s="0" t="n">
        <v>-17.4</v>
      </c>
      <c r="R192" s="0" t="n">
        <v>-17.1</v>
      </c>
      <c r="S192" s="0" t="n">
        <v>1.1</v>
      </c>
      <c r="T192" s="0" t="n">
        <f aca="false">VALUE(VLOOKUP(B192,FgeoVlookup,2,FALSE()))</f>
        <v>1.1</v>
      </c>
      <c r="U192" s="111" t="s">
        <v>525</v>
      </c>
    </row>
    <row r="193" customFormat="false" ht="12.75" hidden="false" customHeight="false" outlineLevel="0" collapsed="false">
      <c r="B193" s="0" t="s">
        <v>455</v>
      </c>
      <c r="C193" s="0" t="s">
        <v>455</v>
      </c>
      <c r="D193" s="0" t="n">
        <v>102242</v>
      </c>
      <c r="E193" s="0" t="n">
        <v>57.65</v>
      </c>
      <c r="F193" s="0" t="n">
        <v>12.02</v>
      </c>
      <c r="G193" s="0" t="n">
        <v>-13.1</v>
      </c>
      <c r="H193" s="0" t="n">
        <v>-12.5</v>
      </c>
      <c r="I193" s="0" t="n">
        <v>-11.9</v>
      </c>
      <c r="J193" s="0" t="n">
        <v>-11.5</v>
      </c>
      <c r="K193" s="0" t="n">
        <v>-11.5</v>
      </c>
      <c r="L193" s="0" t="n">
        <v>-11.5</v>
      </c>
      <c r="M193" s="0" t="n">
        <v>-11.2</v>
      </c>
      <c r="N193" s="0" t="n">
        <v>-11.1</v>
      </c>
      <c r="O193" s="0" t="n">
        <v>-11</v>
      </c>
      <c r="P193" s="0" t="n">
        <v>-10.7</v>
      </c>
      <c r="Q193" s="0" t="n">
        <v>-10.5</v>
      </c>
      <c r="R193" s="0" t="n">
        <v>-10.3</v>
      </c>
      <c r="S193" s="0" t="n">
        <v>0.9</v>
      </c>
      <c r="T193" s="0" t="n">
        <f aca="false">VALUE(VLOOKUP(B193,FgeoVlookup,2,FALSE()))</f>
        <v>0.9</v>
      </c>
      <c r="U193" s="111" t="s">
        <v>455</v>
      </c>
    </row>
    <row r="194" customFormat="false" ht="12.75" hidden="false" customHeight="false" outlineLevel="0" collapsed="false">
      <c r="B194" s="0" t="s">
        <v>408</v>
      </c>
      <c r="C194" s="0" t="s">
        <v>408</v>
      </c>
      <c r="D194" s="0" t="n">
        <v>102333</v>
      </c>
      <c r="E194" s="0" t="n">
        <v>57.04</v>
      </c>
      <c r="F194" s="0" t="n">
        <v>16.44</v>
      </c>
      <c r="G194" s="0" t="n">
        <v>-13.1</v>
      </c>
      <c r="H194" s="0" t="n">
        <v>-12.3</v>
      </c>
      <c r="I194" s="0" t="n">
        <v>-11.7</v>
      </c>
      <c r="J194" s="0" t="n">
        <v>-11.3</v>
      </c>
      <c r="K194" s="0" t="n">
        <v>-11.1</v>
      </c>
      <c r="L194" s="0" t="n">
        <v>-11</v>
      </c>
      <c r="M194" s="0" t="n">
        <v>-10.8</v>
      </c>
      <c r="N194" s="0" t="n">
        <v>-10.5</v>
      </c>
      <c r="O194" s="0" t="n">
        <v>-10.2</v>
      </c>
      <c r="P194" s="0" t="n">
        <v>-10</v>
      </c>
      <c r="Q194" s="0" t="n">
        <v>-9.6</v>
      </c>
      <c r="R194" s="0" t="n">
        <v>-9.4</v>
      </c>
      <c r="S194" s="0" t="n">
        <v>0.9</v>
      </c>
      <c r="T194" s="0" t="n">
        <f aca="false">VALUE(VLOOKUP(B194,FgeoVlookup,2,FALSE()))</f>
        <v>0.9</v>
      </c>
      <c r="U194" s="111" t="s">
        <v>408</v>
      </c>
    </row>
    <row r="195" customFormat="false" ht="12.75" hidden="false" customHeight="false" outlineLevel="0" collapsed="false">
      <c r="B195" s="0" t="s">
        <v>426</v>
      </c>
      <c r="C195" s="0" t="s">
        <v>426</v>
      </c>
      <c r="D195" s="0" t="n">
        <v>102339</v>
      </c>
      <c r="E195" s="0" t="n">
        <v>56.52</v>
      </c>
      <c r="F195" s="0" t="n">
        <v>16.38</v>
      </c>
      <c r="G195" s="0" t="n">
        <v>-11.7</v>
      </c>
      <c r="H195" s="0" t="n">
        <v>-11.2</v>
      </c>
      <c r="I195" s="0" t="n">
        <v>-10.6</v>
      </c>
      <c r="J195" s="0" t="n">
        <v>-10.3</v>
      </c>
      <c r="K195" s="0" t="n">
        <v>-10</v>
      </c>
      <c r="L195" s="0" t="n">
        <v>-9.8</v>
      </c>
      <c r="M195" s="0" t="n">
        <v>-9.6</v>
      </c>
      <c r="N195" s="0" t="n">
        <v>-9.4</v>
      </c>
      <c r="O195" s="0" t="n">
        <v>-9.1</v>
      </c>
      <c r="P195" s="0" t="n">
        <v>-8.9</v>
      </c>
      <c r="Q195" s="0" t="n">
        <v>-8.7</v>
      </c>
      <c r="R195" s="0" t="n">
        <v>-8.5</v>
      </c>
      <c r="S195" s="0" t="n">
        <v>0.9</v>
      </c>
      <c r="T195" s="0" t="n">
        <f aca="false">VALUE(VLOOKUP(B195,FgeoVlookup,2,FALSE()))</f>
        <v>0.9</v>
      </c>
      <c r="U195" s="111" t="s">
        <v>426</v>
      </c>
    </row>
    <row r="196" customFormat="false" ht="12.75" hidden="false" customHeight="false" outlineLevel="0" collapsed="false">
      <c r="B196" s="0" t="s">
        <v>528</v>
      </c>
      <c r="C196" s="0" t="s">
        <v>528</v>
      </c>
      <c r="D196" s="0" t="n">
        <v>102533</v>
      </c>
      <c r="E196" s="0" t="n">
        <v>59.52</v>
      </c>
      <c r="F196" s="0" t="n">
        <v>15.03</v>
      </c>
      <c r="G196" s="0" t="n">
        <v>-18.9</v>
      </c>
      <c r="H196" s="0" t="n">
        <v>-17.8</v>
      </c>
      <c r="I196" s="0" t="n">
        <v>-17.1</v>
      </c>
      <c r="J196" s="0" t="n">
        <v>-16.6</v>
      </c>
      <c r="K196" s="0" t="n">
        <v>-16.1</v>
      </c>
      <c r="L196" s="0" t="n">
        <v>-15.8</v>
      </c>
      <c r="M196" s="0" t="n">
        <v>-15.8</v>
      </c>
      <c r="N196" s="0" t="n">
        <v>-15.5</v>
      </c>
      <c r="O196" s="0" t="n">
        <v>-15.1</v>
      </c>
      <c r="P196" s="0" t="n">
        <v>-14.6</v>
      </c>
      <c r="Q196" s="0" t="n">
        <v>-14.4</v>
      </c>
      <c r="R196" s="0" t="n">
        <v>-14.1</v>
      </c>
      <c r="S196" s="0" t="n">
        <v>1.1</v>
      </c>
      <c r="T196" s="0" t="n">
        <f aca="false">VALUE(VLOOKUP(B196,FgeoVlookup,2,FALSE()))</f>
        <v>1.1</v>
      </c>
      <c r="U196" s="111" t="s">
        <v>528</v>
      </c>
    </row>
    <row r="197" customFormat="false" ht="12.75" hidden="false" customHeight="false" outlineLevel="0" collapsed="false">
      <c r="B197" s="0" t="s">
        <v>489</v>
      </c>
      <c r="C197" s="0" t="s">
        <v>489</v>
      </c>
      <c r="D197" s="0" t="n">
        <v>102632</v>
      </c>
      <c r="E197" s="0" t="n">
        <v>60.35</v>
      </c>
      <c r="F197" s="0" t="n">
        <v>15.55</v>
      </c>
      <c r="G197" s="0" t="n">
        <v>-21.2</v>
      </c>
      <c r="H197" s="0" t="n">
        <v>-20.1</v>
      </c>
      <c r="I197" s="0" t="n">
        <v>-19.4</v>
      </c>
      <c r="J197" s="0" t="n">
        <v>-18.9</v>
      </c>
      <c r="K197" s="0" t="n">
        <v>-18.6</v>
      </c>
      <c r="L197" s="0" t="n">
        <v>-18.2</v>
      </c>
      <c r="M197" s="0" t="n">
        <v>-17.7</v>
      </c>
      <c r="N197" s="0" t="n">
        <v>-17.4</v>
      </c>
      <c r="O197" s="0" t="n">
        <v>-17.2</v>
      </c>
      <c r="P197" s="0" t="n">
        <v>-16.9</v>
      </c>
      <c r="Q197" s="0" t="n">
        <v>-16.7</v>
      </c>
      <c r="R197" s="0" t="n">
        <v>-16.5</v>
      </c>
      <c r="S197" s="0" t="n">
        <v>1.1</v>
      </c>
      <c r="T197" s="0" t="n">
        <f aca="false">VALUE(VLOOKUP(B197,FgeoVlookup,2,FALSE()))</f>
        <v>1.1</v>
      </c>
      <c r="U197" s="111" t="s">
        <v>489</v>
      </c>
    </row>
    <row r="198" customFormat="false" ht="12.75" hidden="false" customHeight="false" outlineLevel="0" collapsed="false">
      <c r="B198" s="0" t="s">
        <v>459</v>
      </c>
      <c r="C198" s="0" t="s">
        <v>459</v>
      </c>
      <c r="D198" s="0" t="n">
        <v>102728</v>
      </c>
      <c r="E198" s="0" t="n">
        <v>61.98</v>
      </c>
      <c r="F198" s="0" t="n">
        <v>17.07</v>
      </c>
      <c r="G198" s="0" t="n">
        <v>-21</v>
      </c>
      <c r="H198" s="0" t="n">
        <v>-20.5</v>
      </c>
      <c r="I198" s="0" t="n">
        <v>-19.8</v>
      </c>
      <c r="J198" s="0" t="n">
        <v>-19.1</v>
      </c>
      <c r="K198" s="0" t="n">
        <v>-18.6</v>
      </c>
      <c r="L198" s="0" t="n">
        <v>-17.8</v>
      </c>
      <c r="M198" s="0" t="n">
        <v>-17.3</v>
      </c>
      <c r="N198" s="0" t="n">
        <v>-17</v>
      </c>
      <c r="O198" s="0" t="n">
        <v>-17</v>
      </c>
      <c r="P198" s="0" t="n">
        <v>-16.5</v>
      </c>
      <c r="Q198" s="0" t="n">
        <v>-16</v>
      </c>
      <c r="R198" s="0" t="n">
        <v>-15.8</v>
      </c>
      <c r="S198" s="0" t="n">
        <v>1.2</v>
      </c>
      <c r="T198" s="0" t="n">
        <f aca="false">VALUE(VLOOKUP(B198,FgeoVlookup,2,FALSE()))</f>
        <v>1.2</v>
      </c>
      <c r="U198" s="316" t="s">
        <v>459</v>
      </c>
    </row>
    <row r="199" customFormat="false" ht="12.75" hidden="false" customHeight="false" outlineLevel="0" collapsed="false">
      <c r="B199" s="0" t="s">
        <v>356</v>
      </c>
      <c r="C199" s="0" t="s">
        <v>356</v>
      </c>
      <c r="D199" s="0" t="n">
        <v>102916</v>
      </c>
      <c r="E199" s="0" t="n">
        <v>63.57</v>
      </c>
      <c r="F199" s="0" t="n">
        <v>19.51</v>
      </c>
      <c r="G199" s="0" t="n">
        <v>-22.7</v>
      </c>
      <c r="H199" s="0" t="n">
        <v>-22.2</v>
      </c>
      <c r="I199" s="0" t="n">
        <v>-21.3</v>
      </c>
      <c r="J199" s="0" t="n">
        <v>-20.8</v>
      </c>
      <c r="K199" s="0" t="n">
        <v>-20.5</v>
      </c>
      <c r="L199" s="0" t="n">
        <v>-19.8</v>
      </c>
      <c r="M199" s="0" t="n">
        <v>-19.8</v>
      </c>
      <c r="N199" s="0" t="n">
        <v>-19.5</v>
      </c>
      <c r="O199" s="0" t="n">
        <v>-19.3</v>
      </c>
      <c r="P199" s="0" t="n">
        <v>-18.8</v>
      </c>
      <c r="Q199" s="0" t="n">
        <v>-18.4</v>
      </c>
      <c r="R199" s="0" t="n">
        <v>-18.2</v>
      </c>
      <c r="S199" s="0" t="n">
        <v>1.3</v>
      </c>
      <c r="T199" s="0" t="n">
        <f aca="false">VALUE(VLOOKUP(B199,FgeoVlookup,2,FALSE()))</f>
        <v>1.3</v>
      </c>
      <c r="U199" s="111" t="s">
        <v>356</v>
      </c>
    </row>
    <row r="200" customFormat="false" ht="12.75" hidden="false" customHeight="false" outlineLevel="0" collapsed="false">
      <c r="B200" s="0" t="s">
        <v>537</v>
      </c>
      <c r="C200" s="0" t="s">
        <v>537</v>
      </c>
      <c r="D200" s="0" t="n">
        <v>102914</v>
      </c>
      <c r="E200" s="0" t="n">
        <v>64.93</v>
      </c>
      <c r="F200" s="0" t="n">
        <v>19.38</v>
      </c>
      <c r="G200" s="0" t="n">
        <v>-27.5</v>
      </c>
      <c r="H200" s="0" t="n">
        <v>-26</v>
      </c>
      <c r="I200" s="0" t="n">
        <v>-25.5</v>
      </c>
      <c r="J200" s="0" t="n">
        <v>-25.2</v>
      </c>
      <c r="K200" s="0" t="n">
        <v>-24.5</v>
      </c>
      <c r="L200" s="0" t="n">
        <v>-23.8</v>
      </c>
      <c r="M200" s="0" t="n">
        <v>-23.3</v>
      </c>
      <c r="N200" s="0" t="n">
        <v>-22.6</v>
      </c>
      <c r="O200" s="0" t="n">
        <v>-22.2</v>
      </c>
      <c r="P200" s="0" t="n">
        <v>-22.2</v>
      </c>
      <c r="Q200" s="0" t="n">
        <v>-22.1</v>
      </c>
      <c r="R200" s="0" t="n">
        <v>-21.9</v>
      </c>
      <c r="S200" s="0" t="n">
        <v>1.6</v>
      </c>
      <c r="T200" s="0" t="n">
        <f aca="false">VALUE(VLOOKUP(B200,FgeoVlookup,2,FALSE()))</f>
        <v>1.6</v>
      </c>
      <c r="U200" s="111" t="s">
        <v>537</v>
      </c>
    </row>
    <row r="201" customFormat="false" ht="12.75" hidden="false" customHeight="false" outlineLevel="0" collapsed="false">
      <c r="B201" s="0" t="s">
        <v>444</v>
      </c>
      <c r="C201" s="0" t="s">
        <v>444</v>
      </c>
      <c r="D201" s="0" t="n">
        <v>102309</v>
      </c>
      <c r="E201" s="0" t="n">
        <v>56.75</v>
      </c>
      <c r="F201" s="0" t="n">
        <v>15.91</v>
      </c>
      <c r="G201" s="0" t="n">
        <v>-14</v>
      </c>
      <c r="H201" s="0" t="n">
        <v>-13</v>
      </c>
      <c r="I201" s="0" t="n">
        <v>-12.6</v>
      </c>
      <c r="J201" s="0" t="n">
        <v>-12.2</v>
      </c>
      <c r="K201" s="0" t="n">
        <v>-11.7</v>
      </c>
      <c r="L201" s="0" t="n">
        <v>-11.7</v>
      </c>
      <c r="M201" s="0" t="n">
        <v>-11.4</v>
      </c>
      <c r="N201" s="0" t="n">
        <v>-11.2</v>
      </c>
      <c r="O201" s="0" t="n">
        <v>-11</v>
      </c>
      <c r="P201" s="0" t="n">
        <v>-10.6</v>
      </c>
      <c r="Q201" s="0" t="n">
        <v>-10.3</v>
      </c>
      <c r="R201" s="0" t="n">
        <v>-10.2</v>
      </c>
      <c r="S201" s="0" t="n">
        <v>0.9</v>
      </c>
      <c r="T201" s="0" t="n">
        <f aca="false">VALUE(VLOOKUP(B201,FgeoVlookup,2,FALSE()))</f>
        <v>0.9</v>
      </c>
      <c r="U201" s="111" t="s">
        <v>444</v>
      </c>
    </row>
    <row r="202" customFormat="false" ht="12.75" hidden="false" customHeight="false" outlineLevel="0" collapsed="false">
      <c r="B202" s="0" t="s">
        <v>531</v>
      </c>
      <c r="C202" s="0" t="s">
        <v>531</v>
      </c>
      <c r="D202" s="0" t="n">
        <v>102321</v>
      </c>
      <c r="E202" s="0" t="n">
        <v>57.65</v>
      </c>
      <c r="F202" s="0" t="n">
        <v>14.7</v>
      </c>
      <c r="G202" s="0" t="n">
        <v>-16.2</v>
      </c>
      <c r="H202" s="0" t="n">
        <v>-15.9</v>
      </c>
      <c r="I202" s="0" t="n">
        <v>-15</v>
      </c>
      <c r="J202" s="0" t="n">
        <v>-14.5</v>
      </c>
      <c r="K202" s="0" t="n">
        <v>-14.2</v>
      </c>
      <c r="L202" s="0" t="n">
        <v>-13.9</v>
      </c>
      <c r="M202" s="0" t="n">
        <v>-13.9</v>
      </c>
      <c r="N202" s="0" t="n">
        <v>-13.7</v>
      </c>
      <c r="O202" s="0" t="n">
        <v>-13.4</v>
      </c>
      <c r="P202" s="0" t="n">
        <v>-12.9</v>
      </c>
      <c r="Q202" s="0" t="n">
        <v>-12.5</v>
      </c>
      <c r="R202" s="0" t="n">
        <v>-12.2</v>
      </c>
      <c r="S202" s="0" t="n">
        <v>1.1</v>
      </c>
      <c r="T202" s="0" t="n">
        <f aca="false">VALUE(VLOOKUP(B202,FgeoVlookup,2,FALSE()))</f>
        <v>1.1</v>
      </c>
      <c r="U202" s="111" t="s">
        <v>531</v>
      </c>
    </row>
    <row r="203" customFormat="false" ht="12.75" hidden="false" customHeight="false" outlineLevel="0" collapsed="false">
      <c r="B203" s="0" t="s">
        <v>365</v>
      </c>
      <c r="C203" s="0" t="s">
        <v>365</v>
      </c>
      <c r="D203" s="0" t="n">
        <v>102712</v>
      </c>
      <c r="E203" s="0" t="n">
        <v>60.9</v>
      </c>
      <c r="F203" s="0" t="n">
        <v>16.72</v>
      </c>
      <c r="G203" s="0" t="n">
        <v>-19.7</v>
      </c>
      <c r="H203" s="0" t="n">
        <v>-19</v>
      </c>
      <c r="I203" s="0" t="n">
        <v>-18.4</v>
      </c>
      <c r="J203" s="0" t="n">
        <v>-17.3</v>
      </c>
      <c r="K203" s="0" t="n">
        <v>-17.3</v>
      </c>
      <c r="L203" s="0" t="n">
        <v>-16.6</v>
      </c>
      <c r="M203" s="0" t="n">
        <v>-16.4</v>
      </c>
      <c r="N203" s="0" t="n">
        <v>-16.3</v>
      </c>
      <c r="O203" s="0" t="n">
        <v>-16.3</v>
      </c>
      <c r="P203" s="0" t="n">
        <v>-16</v>
      </c>
      <c r="Q203" s="0" t="n">
        <v>-15.6</v>
      </c>
      <c r="R203" s="0" t="n">
        <v>-15.6</v>
      </c>
      <c r="S203" s="0" t="n">
        <v>1.1</v>
      </c>
      <c r="T203" s="0" t="n">
        <f aca="false">VALUE(VLOOKUP(B203,FgeoVlookup,2,FALSE()))</f>
        <v>1.1</v>
      </c>
      <c r="U203" s="316" t="s">
        <v>365</v>
      </c>
    </row>
    <row r="204" customFormat="false" ht="12.75" hidden="false" customHeight="false" outlineLevel="0" collapsed="false">
      <c r="B204" s="0" t="s">
        <v>506</v>
      </c>
      <c r="C204" s="0" t="s">
        <v>506</v>
      </c>
      <c r="D204" s="0" t="n">
        <v>102727</v>
      </c>
      <c r="E204" s="0" t="n">
        <v>61.12</v>
      </c>
      <c r="F204" s="0" t="n">
        <v>14.61</v>
      </c>
      <c r="G204" s="0" t="n">
        <v>-23.4</v>
      </c>
      <c r="H204" s="0" t="n">
        <v>-22.4</v>
      </c>
      <c r="I204" s="0" t="n">
        <v>-21.4</v>
      </c>
      <c r="J204" s="0" t="n">
        <v>-20.9</v>
      </c>
      <c r="K204" s="0" t="n">
        <v>-20.4</v>
      </c>
      <c r="L204" s="0" t="n">
        <v>-19.8</v>
      </c>
      <c r="M204" s="0" t="n">
        <v>-19.4</v>
      </c>
      <c r="N204" s="0" t="n">
        <v>-19.2</v>
      </c>
      <c r="O204" s="0" t="n">
        <v>-18.7</v>
      </c>
      <c r="P204" s="0" t="n">
        <v>-18.3</v>
      </c>
      <c r="Q204" s="0" t="n">
        <v>-18.3</v>
      </c>
      <c r="R204" s="0" t="n">
        <v>-18.1</v>
      </c>
      <c r="S204" s="0" t="n">
        <v>1.2</v>
      </c>
      <c r="T204" s="0" t="n">
        <f aca="false">VALUE(VLOOKUP(B204,FgeoVlookup,2,FALSE()))</f>
        <v>1.2</v>
      </c>
      <c r="U204" s="316" t="s">
        <v>506</v>
      </c>
    </row>
    <row r="205" customFormat="false" ht="12.75" hidden="false" customHeight="false" outlineLevel="0" collapsed="false">
      <c r="B205" s="0" t="s">
        <v>474</v>
      </c>
      <c r="C205" s="0" t="s">
        <v>474</v>
      </c>
      <c r="D205" s="0" t="n">
        <v>102240</v>
      </c>
      <c r="E205" s="0" t="n">
        <v>58.24</v>
      </c>
      <c r="F205" s="0" t="n">
        <v>11.66</v>
      </c>
      <c r="G205" s="0" t="n">
        <v>-13.5</v>
      </c>
      <c r="H205" s="0" t="n">
        <v>-12.7</v>
      </c>
      <c r="I205" s="0" t="n">
        <v>-12.2</v>
      </c>
      <c r="J205" s="0" t="n">
        <v>-11.8</v>
      </c>
      <c r="K205" s="0" t="n">
        <v>-11.5</v>
      </c>
      <c r="L205" s="0" t="n">
        <v>-11.4</v>
      </c>
      <c r="M205" s="0" t="n">
        <v>-11.2</v>
      </c>
      <c r="N205" s="0" t="n">
        <v>-11.1</v>
      </c>
      <c r="O205" s="0" t="n">
        <v>-11</v>
      </c>
      <c r="P205" s="0" t="n">
        <v>-10.6</v>
      </c>
      <c r="Q205" s="0" t="n">
        <v>-10.4</v>
      </c>
      <c r="R205" s="0" t="n">
        <v>-10.3</v>
      </c>
      <c r="S205" s="0" t="n">
        <v>0.9</v>
      </c>
      <c r="T205" s="0" t="n">
        <f aca="false">VALUE(VLOOKUP(B205,FgeoVlookup,2,FALSE()))</f>
        <v>0.9</v>
      </c>
      <c r="U205" s="111" t="s">
        <v>474</v>
      </c>
    </row>
    <row r="206" customFormat="false" ht="12.75" hidden="false" customHeight="false" outlineLevel="0" collapsed="false">
      <c r="B206" s="0" t="s">
        <v>612</v>
      </c>
      <c r="C206" s="0" t="s">
        <v>612</v>
      </c>
      <c r="D206" s="0" t="n">
        <v>102117</v>
      </c>
      <c r="E206" s="0" t="n">
        <v>56.38</v>
      </c>
      <c r="F206" s="0" t="n">
        <v>14</v>
      </c>
      <c r="G206" s="0" t="n">
        <v>-14.3</v>
      </c>
      <c r="H206" s="0" t="n">
        <v>-13</v>
      </c>
      <c r="I206" s="0" t="n">
        <v>-12.7</v>
      </c>
      <c r="J206" s="0" t="n">
        <v>-12.1</v>
      </c>
      <c r="K206" s="0" t="n">
        <v>-11.9</v>
      </c>
      <c r="L206" s="0" t="n">
        <v>-11.7</v>
      </c>
      <c r="M206" s="0" t="n">
        <v>-11.7</v>
      </c>
      <c r="N206" s="0" t="n">
        <v>-11.5</v>
      </c>
      <c r="O206" s="0" t="n">
        <v>-11.4</v>
      </c>
      <c r="P206" s="0" t="n">
        <v>-11.1</v>
      </c>
      <c r="Q206" s="0" t="n">
        <v>-10.8</v>
      </c>
      <c r="R206" s="0" t="n">
        <v>-10.7</v>
      </c>
      <c r="S206" s="0" t="n">
        <v>1</v>
      </c>
      <c r="T206" s="0" t="n">
        <f aca="false">VALUE(VLOOKUP(B206,FgeoVlookup,2,FALSE()))</f>
        <v>1</v>
      </c>
      <c r="U206" s="111" t="s">
        <v>612</v>
      </c>
    </row>
    <row r="207" customFormat="false" ht="12.75" hidden="false" customHeight="false" outlineLevel="0" collapsed="false">
      <c r="B207" s="0" t="s">
        <v>463</v>
      </c>
      <c r="C207" s="0" t="s">
        <v>463</v>
      </c>
      <c r="D207" s="0" t="n">
        <v>102325</v>
      </c>
      <c r="E207" s="0" t="n">
        <v>57.27</v>
      </c>
      <c r="F207" s="0" t="n">
        <v>16.45</v>
      </c>
      <c r="G207" s="0" t="n">
        <v>-13.2</v>
      </c>
      <c r="H207" s="0" t="n">
        <v>-12.5</v>
      </c>
      <c r="I207" s="0" t="n">
        <v>-12</v>
      </c>
      <c r="J207" s="0" t="n">
        <v>-11.6</v>
      </c>
      <c r="K207" s="0" t="n">
        <v>-11.2</v>
      </c>
      <c r="L207" s="0" t="n">
        <v>-11</v>
      </c>
      <c r="M207" s="0" t="n">
        <v>-10.9</v>
      </c>
      <c r="N207" s="0" t="n">
        <v>-10.9</v>
      </c>
      <c r="O207" s="0" t="n">
        <v>-10.6</v>
      </c>
      <c r="P207" s="0" t="n">
        <v>-10.3</v>
      </c>
      <c r="Q207" s="0" t="n">
        <v>-9.9</v>
      </c>
      <c r="R207" s="0" t="n">
        <v>-9.6</v>
      </c>
      <c r="S207" s="0" t="n">
        <v>0.9</v>
      </c>
      <c r="T207" s="0" t="n">
        <f aca="false">VALUE(VLOOKUP(B207,FgeoVlookup,2,FALSE()))</f>
        <v>0.9</v>
      </c>
      <c r="U207" s="111" t="s">
        <v>463</v>
      </c>
    </row>
    <row r="208" customFormat="false" ht="12.75" hidden="false" customHeight="false" outlineLevel="0" collapsed="false">
      <c r="B208" s="0" t="s">
        <v>522</v>
      </c>
      <c r="C208" s="0" t="s">
        <v>522</v>
      </c>
      <c r="D208" s="0" t="n">
        <v>102013</v>
      </c>
      <c r="E208" s="0" t="n">
        <v>67.21</v>
      </c>
      <c r="F208" s="0" t="n">
        <v>23.37</v>
      </c>
      <c r="G208" s="0" t="n">
        <v>-30.8</v>
      </c>
      <c r="H208" s="0" t="n">
        <v>-30</v>
      </c>
      <c r="I208" s="0" t="n">
        <v>-28.9</v>
      </c>
      <c r="J208" s="0" t="n">
        <v>-28.1</v>
      </c>
      <c r="K208" s="0" t="n">
        <v>-27.6</v>
      </c>
      <c r="L208" s="0" t="n">
        <v>-27.4</v>
      </c>
      <c r="M208" s="0" t="n">
        <v>-26.7</v>
      </c>
      <c r="N208" s="0" t="n">
        <v>-26.4</v>
      </c>
      <c r="O208" s="0" t="n">
        <v>-26.1</v>
      </c>
      <c r="P208" s="0" t="n">
        <v>-25.5</v>
      </c>
      <c r="Q208" s="0" t="n">
        <v>-25.3</v>
      </c>
      <c r="R208" s="0" t="n">
        <v>-25.3</v>
      </c>
      <c r="S208" s="0" t="n">
        <v>1.7</v>
      </c>
      <c r="T208" s="0" t="n">
        <f aca="false">VALUE(VLOOKUP(B208,FgeoVlookup,2,FALSE()))</f>
        <v>1.7</v>
      </c>
      <c r="U208" s="111" t="s">
        <v>522</v>
      </c>
    </row>
    <row r="209" customFormat="false" ht="12.75" hidden="false" customHeight="false" outlineLevel="0" collapsed="false">
      <c r="B209" s="0" t="s">
        <v>490</v>
      </c>
      <c r="C209" s="0" t="s">
        <v>490</v>
      </c>
      <c r="D209" s="0" t="n">
        <v>102238</v>
      </c>
      <c r="E209" s="0" t="n">
        <v>57.74</v>
      </c>
      <c r="F209" s="0" t="n">
        <v>12.11</v>
      </c>
      <c r="G209" s="0" t="n">
        <v>-13.1</v>
      </c>
      <c r="H209" s="0" t="n">
        <v>-12.3</v>
      </c>
      <c r="I209" s="0" t="n">
        <v>-11.7</v>
      </c>
      <c r="J209" s="0" t="n">
        <v>-11.2</v>
      </c>
      <c r="K209" s="0" t="n">
        <v>-11.2</v>
      </c>
      <c r="L209" s="0" t="n">
        <v>-11.2</v>
      </c>
      <c r="M209" s="0" t="n">
        <v>-11</v>
      </c>
      <c r="N209" s="0" t="n">
        <v>-10.9</v>
      </c>
      <c r="O209" s="0" t="n">
        <v>-10.7</v>
      </c>
      <c r="P209" s="0" t="n">
        <v>-10.5</v>
      </c>
      <c r="Q209" s="0" t="n">
        <v>-10.2</v>
      </c>
      <c r="R209" s="0" t="n">
        <v>-10</v>
      </c>
      <c r="S209" s="0" t="n">
        <v>0.9</v>
      </c>
      <c r="T209" s="0" t="n">
        <f aca="false">VALUE(VLOOKUP(B209,FgeoVlookup,2,FALSE()))</f>
        <v>0.9</v>
      </c>
      <c r="U209" s="111" t="s">
        <v>490</v>
      </c>
    </row>
    <row r="210" customFormat="false" ht="12.75" hidden="false" customHeight="false" outlineLevel="0" collapsed="false">
      <c r="B210" s="0" t="s">
        <v>574</v>
      </c>
      <c r="C210" s="0" t="s">
        <v>574</v>
      </c>
      <c r="D210" s="0" t="n">
        <v>102139</v>
      </c>
      <c r="E210" s="0" t="n">
        <v>56.14</v>
      </c>
      <c r="F210" s="0" t="n">
        <v>13.4</v>
      </c>
      <c r="G210" s="0" t="n">
        <v>-13.2</v>
      </c>
      <c r="H210" s="0" t="n">
        <v>-12</v>
      </c>
      <c r="I210" s="0" t="n">
        <v>-11.4</v>
      </c>
      <c r="J210" s="0" t="n">
        <v>-11.3</v>
      </c>
      <c r="K210" s="0" t="n">
        <v>-11.3</v>
      </c>
      <c r="L210" s="0" t="n">
        <v>-11.2</v>
      </c>
      <c r="M210" s="0" t="n">
        <v>-11.1</v>
      </c>
      <c r="N210" s="0" t="n">
        <v>-10.6</v>
      </c>
      <c r="O210" s="0" t="n">
        <v>-10.5</v>
      </c>
      <c r="P210" s="0" t="n">
        <v>-10.2</v>
      </c>
      <c r="Q210" s="0" t="n">
        <v>-9.9</v>
      </c>
      <c r="R210" s="0" t="n">
        <v>-9.7</v>
      </c>
      <c r="S210" s="0" t="n">
        <v>0.9</v>
      </c>
      <c r="T210" s="0" t="n">
        <f aca="false">VALUE(VLOOKUP(B210,FgeoVlookup,2,FALSE()))</f>
        <v>0.9</v>
      </c>
      <c r="U210" s="111" t="s">
        <v>574</v>
      </c>
    </row>
    <row r="211" customFormat="false" ht="12.75" hidden="false" customHeight="false" outlineLevel="0" collapsed="false">
      <c r="B211" s="0" t="s">
        <v>350</v>
      </c>
      <c r="C211" s="0" t="s">
        <v>350</v>
      </c>
      <c r="D211" s="0" t="n">
        <v>102004</v>
      </c>
      <c r="E211" s="0" t="n">
        <v>65.3</v>
      </c>
      <c r="F211" s="0" t="n">
        <v>21.49</v>
      </c>
      <c r="G211" s="0" t="n">
        <v>-26.4</v>
      </c>
      <c r="H211" s="0" t="n">
        <v>-25.1</v>
      </c>
      <c r="I211" s="0" t="n">
        <v>-24.8</v>
      </c>
      <c r="J211" s="0" t="n">
        <v>-24.2</v>
      </c>
      <c r="K211" s="0" t="n">
        <v>-23.7</v>
      </c>
      <c r="L211" s="0" t="n">
        <v>-23.1</v>
      </c>
      <c r="M211" s="0" t="n">
        <v>-22.6</v>
      </c>
      <c r="N211" s="0" t="n">
        <v>-22.3</v>
      </c>
      <c r="O211" s="0" t="n">
        <v>-21.9</v>
      </c>
      <c r="P211" s="0" t="n">
        <v>-21.7</v>
      </c>
      <c r="Q211" s="0" t="n">
        <v>-21.5</v>
      </c>
      <c r="R211" s="0" t="n">
        <v>-21.3</v>
      </c>
      <c r="S211" s="0" t="n">
        <v>1.4</v>
      </c>
      <c r="T211" s="0" t="n">
        <f aca="false">VALUE(VLOOKUP(B211,FgeoVlookup,2,FALSE()))</f>
        <v>1.4</v>
      </c>
      <c r="U211" s="111" t="s">
        <v>350</v>
      </c>
    </row>
    <row r="212" customFormat="false" ht="12.75" hidden="false" customHeight="false" outlineLevel="0" collapsed="false">
      <c r="B212" s="0" t="s">
        <v>415</v>
      </c>
      <c r="C212" s="0" t="s">
        <v>415</v>
      </c>
      <c r="D212" s="0" t="n">
        <v>102913</v>
      </c>
      <c r="E212" s="0" t="n">
        <v>64.19</v>
      </c>
      <c r="F212" s="0" t="n">
        <v>20.85</v>
      </c>
      <c r="G212" s="0" t="n">
        <v>-23.7</v>
      </c>
      <c r="H212" s="0" t="n">
        <v>-23.3</v>
      </c>
      <c r="I212" s="0" t="n">
        <v>-22.6</v>
      </c>
      <c r="J212" s="0" t="n">
        <v>-22.5</v>
      </c>
      <c r="K212" s="0" t="n">
        <v>-22</v>
      </c>
      <c r="L212" s="0" t="n">
        <v>-21.5</v>
      </c>
      <c r="M212" s="0" t="n">
        <v>-21.2</v>
      </c>
      <c r="N212" s="0" t="n">
        <v>-20.8</v>
      </c>
      <c r="O212" s="0" t="n">
        <v>-20.4</v>
      </c>
      <c r="P212" s="0" t="n">
        <v>-20</v>
      </c>
      <c r="Q212" s="0" t="n">
        <v>-19.8</v>
      </c>
      <c r="R212" s="0" t="n">
        <v>-19.4</v>
      </c>
      <c r="S212" s="0" t="n">
        <v>1.4</v>
      </c>
      <c r="T212" s="0" t="n">
        <f aca="false">VALUE(VLOOKUP(B212,FgeoVlookup,2,FALSE()))</f>
        <v>1.4</v>
      </c>
      <c r="U212" s="111" t="s">
        <v>415</v>
      </c>
    </row>
    <row r="213" customFormat="false" ht="12.75" hidden="false" customHeight="false" outlineLevel="0" collapsed="false">
      <c r="B213" s="0" t="s">
        <v>519</v>
      </c>
      <c r="C213" s="0" t="s">
        <v>519</v>
      </c>
      <c r="D213" s="0" t="n">
        <v>102723</v>
      </c>
      <c r="E213" s="0" t="n">
        <v>60.88</v>
      </c>
      <c r="F213" s="0" t="n">
        <v>15.11</v>
      </c>
      <c r="G213" s="0" t="n">
        <v>-23.4</v>
      </c>
      <c r="H213" s="0" t="n">
        <v>-22.2</v>
      </c>
      <c r="I213" s="0" t="n">
        <v>-21.2</v>
      </c>
      <c r="J213" s="0" t="n">
        <v>-20.8</v>
      </c>
      <c r="K213" s="0" t="n">
        <v>-20.3</v>
      </c>
      <c r="L213" s="0" t="n">
        <v>-19.7</v>
      </c>
      <c r="M213" s="0" t="n">
        <v>-19.5</v>
      </c>
      <c r="N213" s="0" t="n">
        <v>-19.2</v>
      </c>
      <c r="O213" s="0" t="n">
        <v>-18.6</v>
      </c>
      <c r="P213" s="0" t="n">
        <v>-18.5</v>
      </c>
      <c r="Q213" s="0" t="n">
        <v>-18.3</v>
      </c>
      <c r="R213" s="0" t="n">
        <v>-17.9</v>
      </c>
      <c r="S213" s="0" t="n">
        <v>1.2</v>
      </c>
      <c r="T213" s="0" t="n">
        <f aca="false">VALUE(VLOOKUP(B213,FgeoVlookup,2,FALSE()))</f>
        <v>1.2</v>
      </c>
      <c r="U213" s="316" t="s">
        <v>519</v>
      </c>
    </row>
    <row r="214" customFormat="false" ht="12.75" hidden="false" customHeight="false" outlineLevel="0" collapsed="false">
      <c r="B214" s="0" t="s">
        <v>502</v>
      </c>
      <c r="C214" s="0" t="s">
        <v>502</v>
      </c>
      <c r="D214" s="0" t="n">
        <v>102604</v>
      </c>
      <c r="E214" s="0" t="n">
        <v>59.92</v>
      </c>
      <c r="F214" s="0" t="n">
        <v>16.59</v>
      </c>
      <c r="G214" s="0" t="n">
        <v>-19.1</v>
      </c>
      <c r="H214" s="0" t="n">
        <v>-18.7</v>
      </c>
      <c r="I214" s="0" t="n">
        <v>-18</v>
      </c>
      <c r="J214" s="0" t="n">
        <v>-17.3</v>
      </c>
      <c r="K214" s="0" t="n">
        <v>-17.1</v>
      </c>
      <c r="L214" s="0" t="n">
        <v>-16.5</v>
      </c>
      <c r="M214" s="0" t="n">
        <v>-16.1</v>
      </c>
      <c r="N214" s="0" t="n">
        <v>-16.1</v>
      </c>
      <c r="O214" s="0" t="n">
        <v>-16.1</v>
      </c>
      <c r="P214" s="0" t="n">
        <v>-16.1</v>
      </c>
      <c r="Q214" s="0" t="n">
        <v>-15.9</v>
      </c>
      <c r="R214" s="0" t="n">
        <v>-15.6</v>
      </c>
      <c r="S214" s="0" t="n">
        <v>1.1</v>
      </c>
      <c r="T214" s="0" t="n">
        <f aca="false">VALUE(VLOOKUP(B214,FgeoVlookup,2,FALSE()))</f>
        <v>1.1</v>
      </c>
      <c r="U214" s="111" t="s">
        <v>502</v>
      </c>
    </row>
    <row r="215" customFormat="false" ht="12.75" hidden="false" customHeight="false" outlineLevel="0" collapsed="false">
      <c r="B215" s="0" t="s">
        <v>385</v>
      </c>
      <c r="C215" s="0" t="s">
        <v>385</v>
      </c>
      <c r="D215" s="0" t="n">
        <v>102710</v>
      </c>
      <c r="E215" s="0" t="n">
        <v>60.62</v>
      </c>
      <c r="F215" s="0" t="n">
        <v>16.78</v>
      </c>
      <c r="G215" s="0" t="n">
        <v>-19.2</v>
      </c>
      <c r="H215" s="0" t="n">
        <v>-18.4</v>
      </c>
      <c r="I215" s="0" t="n">
        <v>-17.7</v>
      </c>
      <c r="J215" s="0" t="n">
        <v>-16.7</v>
      </c>
      <c r="K215" s="0" t="n">
        <v>-16.7</v>
      </c>
      <c r="L215" s="0" t="n">
        <v>-16.4</v>
      </c>
      <c r="M215" s="0" t="n">
        <v>-16.2</v>
      </c>
      <c r="N215" s="0" t="n">
        <v>-16</v>
      </c>
      <c r="O215" s="0" t="n">
        <v>-16</v>
      </c>
      <c r="P215" s="0" t="n">
        <v>-15.8</v>
      </c>
      <c r="Q215" s="0" t="n">
        <v>-15.5</v>
      </c>
      <c r="R215" s="0" t="n">
        <v>-15.3</v>
      </c>
      <c r="S215" s="0" t="n">
        <v>1.1</v>
      </c>
      <c r="T215" s="0" t="n">
        <f aca="false">VALUE(VLOOKUP(B215,FgeoVlookup,2,FALSE()))</f>
        <v>1.1</v>
      </c>
      <c r="U215" s="316" t="s">
        <v>385</v>
      </c>
    </row>
    <row r="216" customFormat="false" ht="12.75" hidden="false" customHeight="false" outlineLevel="0" collapsed="false">
      <c r="B216" s="0" t="s">
        <v>577</v>
      </c>
      <c r="C216" s="0" t="s">
        <v>577</v>
      </c>
      <c r="D216" s="0" t="n">
        <v>102103</v>
      </c>
      <c r="E216" s="0" t="n">
        <v>55.56</v>
      </c>
      <c r="F216" s="0" t="n">
        <v>14.35</v>
      </c>
      <c r="G216" s="0" t="n">
        <v>-9.9</v>
      </c>
      <c r="H216" s="0" t="n">
        <v>-9.5</v>
      </c>
      <c r="I216" s="0" t="n">
        <v>-9.2</v>
      </c>
      <c r="J216" s="0" t="n">
        <v>-8.9</v>
      </c>
      <c r="K216" s="0" t="n">
        <v>-8.6</v>
      </c>
      <c r="L216" s="0" t="n">
        <v>-8.4</v>
      </c>
      <c r="M216" s="0" t="n">
        <v>-8.1</v>
      </c>
      <c r="N216" s="0" t="n">
        <v>-7.9</v>
      </c>
      <c r="O216" s="0" t="n">
        <v>-7.9</v>
      </c>
      <c r="P216" s="0" t="n">
        <v>-7.6</v>
      </c>
      <c r="Q216" s="0" t="n">
        <v>-7.4</v>
      </c>
      <c r="R216" s="0" t="n">
        <v>-7.1</v>
      </c>
      <c r="S216" s="0" t="n">
        <v>0.9</v>
      </c>
      <c r="T216" s="0" t="n">
        <f aca="false">VALUE(VLOOKUP(B216,FgeoVlookup,2,FALSE()))</f>
        <v>0.9</v>
      </c>
      <c r="U216" s="111" t="s">
        <v>577</v>
      </c>
    </row>
    <row r="217" customFormat="false" ht="12.75" hidden="false" customHeight="false" outlineLevel="0" collapsed="false">
      <c r="B217" s="0" t="s">
        <v>580</v>
      </c>
      <c r="C217" s="0" t="s">
        <v>580</v>
      </c>
      <c r="D217" s="0" t="n">
        <v>102104</v>
      </c>
      <c r="E217" s="0" t="n">
        <v>55.63</v>
      </c>
      <c r="F217" s="0" t="n">
        <v>13.71</v>
      </c>
      <c r="G217" s="0" t="n">
        <v>-11.5</v>
      </c>
      <c r="H217" s="0" t="n">
        <v>-10.5</v>
      </c>
      <c r="I217" s="0" t="n">
        <v>-10</v>
      </c>
      <c r="J217" s="0" t="n">
        <v>-9.8</v>
      </c>
      <c r="K217" s="0" t="n">
        <v>-9.8</v>
      </c>
      <c r="L217" s="0" t="n">
        <v>-9.5</v>
      </c>
      <c r="M217" s="0" t="n">
        <v>-9.3</v>
      </c>
      <c r="N217" s="0" t="n">
        <v>-9</v>
      </c>
      <c r="O217" s="0" t="n">
        <v>-8.8</v>
      </c>
      <c r="P217" s="0" t="n">
        <v>-8.6</v>
      </c>
      <c r="Q217" s="0" t="n">
        <v>-8.4</v>
      </c>
      <c r="R217" s="0" t="n">
        <v>-8.2</v>
      </c>
      <c r="S217" s="0" t="n">
        <v>0.9</v>
      </c>
      <c r="T217" s="0" t="n">
        <f aca="false">VALUE(VLOOKUP(B217,FgeoVlookup,2,FALSE()))</f>
        <v>0.9</v>
      </c>
      <c r="U217" s="111" t="s">
        <v>580</v>
      </c>
    </row>
    <row r="218" customFormat="false" ht="12.75" hidden="false" customHeight="false" outlineLevel="0" collapsed="false">
      <c r="B218" s="0" t="s">
        <v>619</v>
      </c>
      <c r="C218" s="0" t="s">
        <v>619</v>
      </c>
      <c r="D218" s="0" t="n">
        <v>102214</v>
      </c>
      <c r="E218" s="0" t="n">
        <v>58.38</v>
      </c>
      <c r="F218" s="0" t="n">
        <v>13.44</v>
      </c>
      <c r="G218" s="0" t="n">
        <v>-15.7</v>
      </c>
      <c r="H218" s="0" t="n">
        <v>-15.1</v>
      </c>
      <c r="I218" s="0" t="n">
        <v>-14.2</v>
      </c>
      <c r="J218" s="0" t="n">
        <v>-13.8</v>
      </c>
      <c r="K218" s="0" t="n">
        <v>-13.6</v>
      </c>
      <c r="L218" s="0" t="n">
        <v>-13.4</v>
      </c>
      <c r="M218" s="0" t="n">
        <v>-13.4</v>
      </c>
      <c r="N218" s="0" t="n">
        <v>-13.2</v>
      </c>
      <c r="O218" s="0" t="n">
        <v>-12.8</v>
      </c>
      <c r="P218" s="0" t="n">
        <v>-12.5</v>
      </c>
      <c r="Q218" s="0" t="n">
        <v>-11.9</v>
      </c>
      <c r="R218" s="0" t="n">
        <v>-11.6</v>
      </c>
      <c r="S218" s="0" t="n">
        <v>1</v>
      </c>
      <c r="T218" s="0" t="n">
        <f aca="false">VALUE(VLOOKUP(B218,FgeoVlookup,2,FALSE()))</f>
        <v>1</v>
      </c>
      <c r="U218" s="111" t="s">
        <v>619</v>
      </c>
    </row>
    <row r="219" customFormat="false" ht="12.75" hidden="false" customHeight="false" outlineLevel="0" collapsed="false">
      <c r="B219" s="0" t="s">
        <v>434</v>
      </c>
      <c r="C219" s="0" t="s">
        <v>434</v>
      </c>
      <c r="D219" s="0" t="n">
        <v>102911</v>
      </c>
      <c r="E219" s="0" t="n">
        <v>64.75</v>
      </c>
      <c r="F219" s="0" t="n">
        <v>20.96</v>
      </c>
      <c r="G219" s="0" t="n">
        <v>-24.6</v>
      </c>
      <c r="H219" s="0" t="n">
        <v>-23.9</v>
      </c>
      <c r="I219" s="0" t="n">
        <v>-23.6</v>
      </c>
      <c r="J219" s="0" t="n">
        <v>-23</v>
      </c>
      <c r="K219" s="0" t="n">
        <v>-22.7</v>
      </c>
      <c r="L219" s="0" t="n">
        <v>-22.1</v>
      </c>
      <c r="M219" s="0" t="n">
        <v>-21.5</v>
      </c>
      <c r="N219" s="0" t="n">
        <v>-21.3</v>
      </c>
      <c r="O219" s="0" t="n">
        <v>-20.9</v>
      </c>
      <c r="P219" s="0" t="n">
        <v>-20.6</v>
      </c>
      <c r="Q219" s="0" t="n">
        <v>-20.2</v>
      </c>
      <c r="R219" s="0" t="n">
        <v>-20</v>
      </c>
      <c r="S219" s="0" t="n">
        <v>1.4</v>
      </c>
      <c r="T219" s="0" t="n">
        <f aca="false">VALUE(VLOOKUP(B219,FgeoVlookup,2,FALSE()))</f>
        <v>1.4</v>
      </c>
      <c r="U219" s="111" t="s">
        <v>434</v>
      </c>
    </row>
    <row r="220" customFormat="false" ht="12.75" hidden="false" customHeight="false" outlineLevel="0" collapsed="false">
      <c r="B220" s="0" t="s">
        <v>515</v>
      </c>
      <c r="C220" s="0" t="s">
        <v>515</v>
      </c>
      <c r="D220" s="0" t="n">
        <v>102635</v>
      </c>
      <c r="E220" s="0" t="n">
        <v>59.83</v>
      </c>
      <c r="F220" s="0" t="n">
        <v>15.69</v>
      </c>
      <c r="G220" s="0" t="n">
        <v>-19.1</v>
      </c>
      <c r="H220" s="0" t="n">
        <v>-18.5</v>
      </c>
      <c r="I220" s="0" t="n">
        <v>-17.7</v>
      </c>
      <c r="J220" s="0" t="n">
        <v>-17.3</v>
      </c>
      <c r="K220" s="0" t="n">
        <v>-16.8</v>
      </c>
      <c r="L220" s="0" t="n">
        <v>-16.2</v>
      </c>
      <c r="M220" s="0" t="n">
        <v>-16.1</v>
      </c>
      <c r="N220" s="0" t="n">
        <v>-16</v>
      </c>
      <c r="O220" s="0" t="n">
        <v>-15.6</v>
      </c>
      <c r="P220" s="0" t="n">
        <v>-15.3</v>
      </c>
      <c r="Q220" s="0" t="n">
        <v>-15.3</v>
      </c>
      <c r="R220" s="0" t="n">
        <v>-15</v>
      </c>
      <c r="S220" s="0" t="n">
        <v>1.1</v>
      </c>
      <c r="T220" s="0" t="n">
        <f aca="false">VALUE(VLOOKUP(B220,FgeoVlookup,2,FALSE()))</f>
        <v>1.1</v>
      </c>
      <c r="U220" s="111" t="s">
        <v>515</v>
      </c>
    </row>
    <row r="221" customFormat="false" ht="12.75" hidden="false" customHeight="false" outlineLevel="0" collapsed="false">
      <c r="B221" s="0" t="s">
        <v>583</v>
      </c>
      <c r="C221" s="0" t="s">
        <v>583</v>
      </c>
      <c r="D221" s="0" t="n">
        <v>102137</v>
      </c>
      <c r="E221" s="0" t="n">
        <v>55.48</v>
      </c>
      <c r="F221" s="0" t="n">
        <v>13.5</v>
      </c>
      <c r="G221" s="0" t="n">
        <v>-11.2</v>
      </c>
      <c r="H221" s="0" t="n">
        <v>-10.2</v>
      </c>
      <c r="I221" s="0" t="n">
        <v>-9.8</v>
      </c>
      <c r="J221" s="0" t="n">
        <v>-9.6</v>
      </c>
      <c r="K221" s="0" t="n">
        <v>-9.5</v>
      </c>
      <c r="L221" s="0" t="n">
        <v>-9.2</v>
      </c>
      <c r="M221" s="0" t="n">
        <v>-9</v>
      </c>
      <c r="N221" s="0" t="n">
        <v>-8.7</v>
      </c>
      <c r="O221" s="0" t="n">
        <v>-8.6</v>
      </c>
      <c r="P221" s="0" t="n">
        <v>-8.4</v>
      </c>
      <c r="Q221" s="0" t="n">
        <v>-8.2</v>
      </c>
      <c r="R221" s="0" t="n">
        <v>-8</v>
      </c>
      <c r="S221" s="0" t="n">
        <v>0.9</v>
      </c>
      <c r="T221" s="0" t="n">
        <f aca="false">VALUE(VLOOKUP(B221,FgeoVlookup,2,FALSE()))</f>
        <v>0.9</v>
      </c>
      <c r="U221" s="111" t="s">
        <v>583</v>
      </c>
    </row>
    <row r="222" customFormat="false" ht="12.75" hidden="false" customHeight="false" outlineLevel="0" collapsed="false">
      <c r="A222" s="0" t="s">
        <v>681</v>
      </c>
      <c r="B222" s="327" t="s">
        <v>469</v>
      </c>
      <c r="C222" s="0" t="s">
        <v>681</v>
      </c>
      <c r="D222" s="0" t="n">
        <v>102630</v>
      </c>
      <c r="E222" s="0" t="n">
        <v>60.63</v>
      </c>
      <c r="F222" s="0" t="n">
        <v>17.41</v>
      </c>
      <c r="G222" s="0" t="n">
        <v>-16.7</v>
      </c>
      <c r="H222" s="0" t="n">
        <v>-16.2</v>
      </c>
      <c r="I222" s="0" t="n">
        <v>-15.8</v>
      </c>
      <c r="J222" s="0" t="n">
        <v>-14.9</v>
      </c>
      <c r="K222" s="0" t="n">
        <v>-14.5</v>
      </c>
      <c r="L222" s="0" t="n">
        <v>-14.4</v>
      </c>
      <c r="M222" s="0" t="n">
        <v>-14.2</v>
      </c>
      <c r="N222" s="0" t="n">
        <v>-14</v>
      </c>
      <c r="O222" s="0" t="n">
        <v>-13.6</v>
      </c>
      <c r="P222" s="0" t="n">
        <v>-13.6</v>
      </c>
      <c r="Q222" s="0" t="n">
        <v>-13.5</v>
      </c>
      <c r="R222" s="0" t="n">
        <v>-13.3</v>
      </c>
      <c r="S222" s="0" t="n">
        <v>1.1</v>
      </c>
      <c r="T222" s="0" t="n">
        <f aca="false">VALUE(VLOOKUP(B222,FgeoVlookup,2,FALSE()))</f>
        <v>1.1</v>
      </c>
      <c r="U222" s="111" t="s">
        <v>469</v>
      </c>
    </row>
    <row r="223" customFormat="false" ht="12.75" hidden="false" customHeight="false" outlineLevel="0" collapsed="false">
      <c r="B223" s="0" t="s">
        <v>636</v>
      </c>
      <c r="C223" s="0" t="s">
        <v>636</v>
      </c>
      <c r="D223" s="0" t="n">
        <v>102216</v>
      </c>
      <c r="E223" s="0" t="n">
        <v>58.4</v>
      </c>
      <c r="F223" s="0" t="n">
        <v>13.86</v>
      </c>
      <c r="G223" s="0" t="n">
        <v>-15.5</v>
      </c>
      <c r="H223" s="0" t="n">
        <v>-14.5</v>
      </c>
      <c r="I223" s="0" t="n">
        <v>-13.8</v>
      </c>
      <c r="J223" s="0" t="n">
        <v>-13.3</v>
      </c>
      <c r="K223" s="0" t="n">
        <v>-13.3</v>
      </c>
      <c r="L223" s="0" t="n">
        <v>-12.7</v>
      </c>
      <c r="M223" s="0" t="n">
        <v>-12.7</v>
      </c>
      <c r="N223" s="0" t="n">
        <v>-12.7</v>
      </c>
      <c r="O223" s="0" t="n">
        <v>-12.3</v>
      </c>
      <c r="P223" s="0" t="n">
        <v>-12.1</v>
      </c>
      <c r="Q223" s="0" t="n">
        <v>-11.5</v>
      </c>
      <c r="R223" s="0" t="n">
        <v>-11.1</v>
      </c>
      <c r="S223" s="0" t="n">
        <v>1</v>
      </c>
      <c r="T223" s="0" t="n">
        <f aca="false">VALUE(VLOOKUP(B223,FgeoVlookup,2,FALSE()))</f>
        <v>1</v>
      </c>
      <c r="U223" s="111" t="s">
        <v>636</v>
      </c>
    </row>
    <row r="224" customFormat="false" ht="12.75" hidden="false" customHeight="false" outlineLevel="0" collapsed="false">
      <c r="B224" s="0" t="s">
        <v>530</v>
      </c>
      <c r="C224" s="0" t="s">
        <v>530</v>
      </c>
      <c r="D224" s="0" t="n">
        <v>102726</v>
      </c>
      <c r="E224" s="0" t="n">
        <v>60.14</v>
      </c>
      <c r="F224" s="0" t="n">
        <v>15.41</v>
      </c>
      <c r="G224" s="0" t="n">
        <v>-19.8</v>
      </c>
      <c r="H224" s="0" t="n">
        <v>-18.8</v>
      </c>
      <c r="I224" s="0" t="n">
        <v>-18.2</v>
      </c>
      <c r="J224" s="0" t="n">
        <v>-17.7</v>
      </c>
      <c r="K224" s="0" t="n">
        <v>-17.1</v>
      </c>
      <c r="L224" s="0" t="n">
        <v>-16.7</v>
      </c>
      <c r="M224" s="0" t="n">
        <v>-16.3</v>
      </c>
      <c r="N224" s="0" t="n">
        <v>-16.1</v>
      </c>
      <c r="O224" s="0" t="n">
        <v>-15.8</v>
      </c>
      <c r="P224" s="0" t="n">
        <v>-15.6</v>
      </c>
      <c r="Q224" s="0" t="n">
        <v>-15.3</v>
      </c>
      <c r="R224" s="0" t="n">
        <v>-15.2</v>
      </c>
      <c r="S224" s="0" t="n">
        <v>1.2</v>
      </c>
      <c r="T224" s="0" t="n">
        <f aca="false">VALUE(VLOOKUP(B224,FgeoVlookup,2,FALSE()))</f>
        <v>1.2</v>
      </c>
      <c r="U224" s="316" t="s">
        <v>530</v>
      </c>
    </row>
    <row r="225" customFormat="false" ht="12.75" hidden="false" customHeight="false" outlineLevel="0" collapsed="false">
      <c r="B225" s="0" t="s">
        <v>453</v>
      </c>
      <c r="C225" s="0" t="s">
        <v>453</v>
      </c>
      <c r="D225" s="0" t="n">
        <v>102812</v>
      </c>
      <c r="E225" s="0" t="n">
        <v>63.17</v>
      </c>
      <c r="F225" s="0" t="n">
        <v>17.28</v>
      </c>
      <c r="G225" s="0" t="n">
        <v>-26.3</v>
      </c>
      <c r="H225" s="0" t="n">
        <v>-24.9</v>
      </c>
      <c r="I225" s="0" t="n">
        <v>-24.4</v>
      </c>
      <c r="J225" s="0" t="n">
        <v>-23.7</v>
      </c>
      <c r="K225" s="0" t="n">
        <v>-22.6</v>
      </c>
      <c r="L225" s="0" t="n">
        <v>-22</v>
      </c>
      <c r="M225" s="0" t="n">
        <v>-21.5</v>
      </c>
      <c r="N225" s="0" t="n">
        <v>-21.3</v>
      </c>
      <c r="O225" s="0" t="n">
        <v>-20.9</v>
      </c>
      <c r="P225" s="0" t="n">
        <v>-20.7</v>
      </c>
      <c r="Q225" s="0" t="n">
        <v>-20.4</v>
      </c>
      <c r="R225" s="0" t="n">
        <v>-20.4</v>
      </c>
      <c r="S225" s="0" t="n">
        <v>1.4</v>
      </c>
      <c r="T225" s="0" t="n">
        <f aca="false">VALUE(VLOOKUP(B225,FgeoVlookup,2,FALSE()))</f>
        <v>1.4</v>
      </c>
      <c r="U225" s="111" t="s">
        <v>453</v>
      </c>
    </row>
    <row r="226" customFormat="false" ht="12.75" hidden="false" customHeight="false" outlineLevel="0" collapsed="false">
      <c r="B226" s="0" t="s">
        <v>555</v>
      </c>
      <c r="C226" s="0" t="s">
        <v>555</v>
      </c>
      <c r="D226" s="0" t="n">
        <v>102910</v>
      </c>
      <c r="E226" s="0" t="n">
        <v>65.54</v>
      </c>
      <c r="F226" s="0" t="n">
        <v>17.53</v>
      </c>
      <c r="G226" s="0" t="n">
        <v>-31.7</v>
      </c>
      <c r="H226" s="0" t="n">
        <v>-30.6</v>
      </c>
      <c r="I226" s="0" t="n">
        <v>-29.6</v>
      </c>
      <c r="J226" s="0" t="n">
        <v>-28.6</v>
      </c>
      <c r="K226" s="0" t="n">
        <v>-27.8</v>
      </c>
      <c r="L226" s="0" t="n">
        <v>-27.4</v>
      </c>
      <c r="M226" s="0" t="n">
        <v>-26.9</v>
      </c>
      <c r="N226" s="0" t="n">
        <v>-26.5</v>
      </c>
      <c r="O226" s="0" t="n">
        <v>-26.2</v>
      </c>
      <c r="P226" s="0" t="n">
        <v>-26.1</v>
      </c>
      <c r="Q226" s="0" t="n">
        <v>-26</v>
      </c>
      <c r="R226" s="0" t="n">
        <v>-25.9</v>
      </c>
      <c r="S226" s="0" t="n">
        <v>1.7</v>
      </c>
      <c r="T226" s="0" t="n">
        <f aca="false">VALUE(VLOOKUP(B226,FgeoVlookup,2,FALSE()))</f>
        <v>1.7</v>
      </c>
      <c r="U226" s="111" t="s">
        <v>555</v>
      </c>
    </row>
    <row r="227" customFormat="false" ht="12.75" hidden="false" customHeight="false" outlineLevel="0" collapsed="false">
      <c r="B227" s="0" t="s">
        <v>503</v>
      </c>
      <c r="C227" s="0" t="s">
        <v>503</v>
      </c>
      <c r="D227" s="0" t="n">
        <v>102235</v>
      </c>
      <c r="E227" s="0" t="n">
        <v>58.36</v>
      </c>
      <c r="F227" s="0" t="n">
        <v>11.26</v>
      </c>
      <c r="G227" s="0" t="n">
        <v>-12.4</v>
      </c>
      <c r="H227" s="0" t="n">
        <v>-11.6</v>
      </c>
      <c r="I227" s="0" t="n">
        <v>-11.2</v>
      </c>
      <c r="J227" s="0" t="n">
        <v>-10.8</v>
      </c>
      <c r="K227" s="0" t="n">
        <v>-10.3</v>
      </c>
      <c r="L227" s="0" t="n">
        <v>-10.1</v>
      </c>
      <c r="M227" s="0" t="n">
        <v>-9.8</v>
      </c>
      <c r="N227" s="0" t="n">
        <v>-9.6</v>
      </c>
      <c r="O227" s="0" t="n">
        <v>-9.6</v>
      </c>
      <c r="P227" s="0" t="n">
        <v>-9.4</v>
      </c>
      <c r="Q227" s="0" t="n">
        <v>-9.1</v>
      </c>
      <c r="R227" s="0" t="n">
        <v>-8.9</v>
      </c>
      <c r="S227" s="0" t="n">
        <v>0.9</v>
      </c>
      <c r="T227" s="0" t="n">
        <f aca="false">VALUE(VLOOKUP(B227,FgeoVlookup,2,FALSE()))</f>
        <v>0.9</v>
      </c>
      <c r="U227" s="111" t="s">
        <v>503</v>
      </c>
    </row>
    <row r="228" customFormat="false" ht="12.75" hidden="false" customHeight="false" outlineLevel="0" collapsed="false">
      <c r="B228" s="0" t="s">
        <v>586</v>
      </c>
      <c r="C228" s="0" t="s">
        <v>586</v>
      </c>
      <c r="D228" s="0" t="n">
        <v>102136</v>
      </c>
      <c r="E228" s="0" t="n">
        <v>55.65</v>
      </c>
      <c r="F228" s="0" t="n">
        <v>13.22</v>
      </c>
      <c r="G228" s="0" t="n">
        <v>-10.9</v>
      </c>
      <c r="H228" s="0" t="n">
        <v>-10.2</v>
      </c>
      <c r="I228" s="0" t="n">
        <v>-9.4</v>
      </c>
      <c r="J228" s="0" t="n">
        <v>-9.3</v>
      </c>
      <c r="K228" s="0" t="n">
        <v>-9.2</v>
      </c>
      <c r="L228" s="0" t="n">
        <v>-8.9</v>
      </c>
      <c r="M228" s="0" t="n">
        <v>-8.8</v>
      </c>
      <c r="N228" s="0" t="n">
        <v>-8.5</v>
      </c>
      <c r="O228" s="0" t="n">
        <v>-8.2</v>
      </c>
      <c r="P228" s="0" t="n">
        <v>-8</v>
      </c>
      <c r="Q228" s="0" t="n">
        <v>-7.9</v>
      </c>
      <c r="R228" s="0" t="n">
        <v>-7.7</v>
      </c>
      <c r="S228" s="0" t="n">
        <v>0.9</v>
      </c>
      <c r="T228" s="0" t="n">
        <f aca="false">VALUE(VLOOKUP(B228,FgeoVlookup,2,FALSE()))</f>
        <v>0.9</v>
      </c>
      <c r="U228" s="111" t="s">
        <v>586</v>
      </c>
    </row>
    <row r="229" customFormat="false" ht="12.75" hidden="false" customHeight="false" outlineLevel="0" collapsed="false">
      <c r="B229" s="0" t="s">
        <v>516</v>
      </c>
      <c r="C229" s="0" t="s">
        <v>516</v>
      </c>
      <c r="D229" s="0" t="n">
        <v>102208</v>
      </c>
      <c r="E229" s="0" t="n">
        <v>58.07</v>
      </c>
      <c r="F229" s="0" t="n">
        <v>11.83</v>
      </c>
      <c r="G229" s="0" t="n">
        <v>-13</v>
      </c>
      <c r="H229" s="0" t="n">
        <v>-12.6</v>
      </c>
      <c r="I229" s="0" t="n">
        <v>-11.9</v>
      </c>
      <c r="J229" s="0" t="n">
        <v>-11.7</v>
      </c>
      <c r="K229" s="0" t="n">
        <v>-11.5</v>
      </c>
      <c r="L229" s="0" t="n">
        <v>-11.3</v>
      </c>
      <c r="M229" s="0" t="n">
        <v>-10.9</v>
      </c>
      <c r="N229" s="0" t="n">
        <v>-10.9</v>
      </c>
      <c r="O229" s="0" t="n">
        <v>-10.9</v>
      </c>
      <c r="P229" s="0" t="n">
        <v>-10.4</v>
      </c>
      <c r="Q229" s="0" t="n">
        <v>-10.3</v>
      </c>
      <c r="R229" s="0" t="n">
        <v>-10.1</v>
      </c>
      <c r="S229" s="0" t="n">
        <v>0.9</v>
      </c>
      <c r="T229" s="0" t="n">
        <f aca="false">VALUE(VLOOKUP(B229,FgeoVlookup,2,FALSE()))</f>
        <v>0.9</v>
      </c>
      <c r="U229" s="111" t="s">
        <v>516</v>
      </c>
    </row>
    <row r="230" customFormat="false" ht="12.75" hidden="false" customHeight="false" outlineLevel="0" collapsed="false">
      <c r="B230" s="0" t="s">
        <v>536</v>
      </c>
      <c r="C230" s="0" t="s">
        <v>536</v>
      </c>
      <c r="D230" s="0" t="n">
        <v>102534</v>
      </c>
      <c r="E230" s="0" t="n">
        <v>59.53</v>
      </c>
      <c r="F230" s="0" t="n">
        <v>14.27</v>
      </c>
      <c r="G230" s="0" t="n">
        <v>-20.1</v>
      </c>
      <c r="H230" s="0" t="n">
        <v>-19.2</v>
      </c>
      <c r="I230" s="0" t="n">
        <v>-18.3</v>
      </c>
      <c r="J230" s="0" t="n">
        <v>-17.7</v>
      </c>
      <c r="K230" s="0" t="n">
        <v>-17.3</v>
      </c>
      <c r="L230" s="0" t="n">
        <v>-17</v>
      </c>
      <c r="M230" s="0" t="n">
        <v>-17</v>
      </c>
      <c r="N230" s="0" t="n">
        <v>-17</v>
      </c>
      <c r="O230" s="0" t="n">
        <v>-16.6</v>
      </c>
      <c r="P230" s="0" t="n">
        <v>-16.3</v>
      </c>
      <c r="Q230" s="0" t="n">
        <v>-16</v>
      </c>
      <c r="R230" s="0" t="n">
        <v>-15.8</v>
      </c>
      <c r="S230" s="0" t="n">
        <v>1.1</v>
      </c>
      <c r="T230" s="0" t="n">
        <f aca="false">VALUE(VLOOKUP(B230,FgeoVlookup,2,FALSE()))</f>
        <v>1.1</v>
      </c>
      <c r="U230" s="111" t="s">
        <v>536</v>
      </c>
    </row>
    <row r="231" customFormat="false" ht="12.75" hidden="false" customHeight="false" outlineLevel="0" collapsed="false">
      <c r="B231" s="0" t="s">
        <v>561</v>
      </c>
      <c r="C231" s="0" t="s">
        <v>561</v>
      </c>
      <c r="D231" s="0" t="n">
        <v>102909</v>
      </c>
      <c r="E231" s="0" t="n">
        <v>65.1</v>
      </c>
      <c r="F231" s="0" t="n">
        <v>17.11</v>
      </c>
      <c r="G231" s="0" t="n">
        <v>-28.8</v>
      </c>
      <c r="H231" s="0" t="n">
        <v>-27.8</v>
      </c>
      <c r="I231" s="0" t="n">
        <v>-26.8</v>
      </c>
      <c r="J231" s="0" t="n">
        <v>-26.3</v>
      </c>
      <c r="K231" s="0" t="n">
        <v>-25.5</v>
      </c>
      <c r="L231" s="0" t="n">
        <v>-25.2</v>
      </c>
      <c r="M231" s="0" t="n">
        <v>-24.9</v>
      </c>
      <c r="N231" s="0" t="n">
        <v>-24.4</v>
      </c>
      <c r="O231" s="0" t="n">
        <v>-24.1</v>
      </c>
      <c r="P231" s="0" t="n">
        <v>-24</v>
      </c>
      <c r="Q231" s="0" t="n">
        <v>-24</v>
      </c>
      <c r="R231" s="0" t="n">
        <v>-23.8</v>
      </c>
      <c r="S231" s="0" t="n">
        <v>1.8</v>
      </c>
      <c r="T231" s="0" t="n">
        <f aca="false">VALUE(VLOOKUP(B231,FgeoVlookup,2,FALSE()))</f>
        <v>1.8</v>
      </c>
      <c r="U231" s="111" t="s">
        <v>561</v>
      </c>
    </row>
    <row r="232" customFormat="false" ht="12.75" hidden="false" customHeight="false" outlineLevel="0" collapsed="false">
      <c r="B232" s="0" t="s">
        <v>527</v>
      </c>
      <c r="C232" s="0" t="s">
        <v>527</v>
      </c>
      <c r="D232" s="0" t="n">
        <v>102221</v>
      </c>
      <c r="E232" s="0" t="n">
        <v>58.94</v>
      </c>
      <c r="F232" s="0" t="n">
        <v>11.19</v>
      </c>
      <c r="G232" s="0" t="n">
        <v>-14.3</v>
      </c>
      <c r="H232" s="0" t="n">
        <v>-13.9</v>
      </c>
      <c r="I232" s="0" t="n">
        <v>-13.5</v>
      </c>
      <c r="J232" s="0" t="n">
        <v>-13</v>
      </c>
      <c r="K232" s="0" t="n">
        <v>-12.6</v>
      </c>
      <c r="L232" s="0" t="n">
        <v>-12.4</v>
      </c>
      <c r="M232" s="0" t="n">
        <v>-12.1</v>
      </c>
      <c r="N232" s="0" t="n">
        <v>-11.8</v>
      </c>
      <c r="O232" s="0" t="n">
        <v>-11.5</v>
      </c>
      <c r="P232" s="0" t="n">
        <v>-11.3</v>
      </c>
      <c r="Q232" s="0" t="n">
        <v>-11.1</v>
      </c>
      <c r="R232" s="0" t="n">
        <v>-11</v>
      </c>
      <c r="S232" s="0" t="n">
        <v>0.9</v>
      </c>
      <c r="T232" s="0" t="n">
        <f aca="false">VALUE(VLOOKUP(B232,FgeoVlookup,2,FALSE()))</f>
        <v>0.9</v>
      </c>
      <c r="U232" s="111" t="s">
        <v>527</v>
      </c>
    </row>
    <row r="233" customFormat="false" ht="12.75" hidden="false" customHeight="false" outlineLevel="0" collapsed="false">
      <c r="B233" s="0" t="s">
        <v>461</v>
      </c>
      <c r="C233" s="0" t="s">
        <v>461</v>
      </c>
      <c r="D233" s="0" t="n">
        <v>102814</v>
      </c>
      <c r="E233" s="0" t="n">
        <v>63.85</v>
      </c>
      <c r="F233" s="0" t="n">
        <v>15.56</v>
      </c>
      <c r="G233" s="0" t="n">
        <v>-25</v>
      </c>
      <c r="H233" s="0" t="n">
        <v>-24.5</v>
      </c>
      <c r="I233" s="0" t="n">
        <v>-23.5</v>
      </c>
      <c r="J233" s="0" t="n">
        <v>-22.9</v>
      </c>
      <c r="K233" s="0" t="n">
        <v>-22.2</v>
      </c>
      <c r="L233" s="0" t="n">
        <v>-21.5</v>
      </c>
      <c r="M233" s="0" t="n">
        <v>-21</v>
      </c>
      <c r="N233" s="0" t="n">
        <v>-20.5</v>
      </c>
      <c r="O233" s="0" t="n">
        <v>-20.2</v>
      </c>
      <c r="P233" s="0" t="n">
        <v>-20.1</v>
      </c>
      <c r="Q233" s="0" t="n">
        <v>-20</v>
      </c>
      <c r="R233" s="0" t="n">
        <v>-20</v>
      </c>
      <c r="S233" s="0" t="n">
        <v>1.5</v>
      </c>
      <c r="T233" s="0" t="n">
        <f aca="false">VALUE(VLOOKUP(B233,FgeoVlookup,2,FALSE()))</f>
        <v>1.5</v>
      </c>
      <c r="U233" s="111" t="s">
        <v>461</v>
      </c>
    </row>
    <row r="234" customFormat="false" ht="12.75" hidden="false" customHeight="false" outlineLevel="0" collapsed="false">
      <c r="B234" s="0" t="s">
        <v>397</v>
      </c>
      <c r="C234" s="0" t="s">
        <v>397</v>
      </c>
      <c r="D234" s="0" t="n">
        <v>102805</v>
      </c>
      <c r="E234" s="0" t="n">
        <v>62.39</v>
      </c>
      <c r="F234" s="0" t="n">
        <v>17.31</v>
      </c>
      <c r="G234" s="0" t="n">
        <v>-22.9</v>
      </c>
      <c r="H234" s="0" t="n">
        <v>-22</v>
      </c>
      <c r="I234" s="0" t="n">
        <v>-21.5</v>
      </c>
      <c r="J234" s="0" t="n">
        <v>-20.8</v>
      </c>
      <c r="K234" s="0" t="n">
        <v>-20.1</v>
      </c>
      <c r="L234" s="0" t="n">
        <v>-19.5</v>
      </c>
      <c r="M234" s="0" t="n">
        <v>-18.8</v>
      </c>
      <c r="N234" s="0" t="n">
        <v>-18.5</v>
      </c>
      <c r="O234" s="0" t="n">
        <v>-18.2</v>
      </c>
      <c r="P234" s="0" t="n">
        <v>-18</v>
      </c>
      <c r="Q234" s="0" t="n">
        <v>-17.4</v>
      </c>
      <c r="R234" s="0" t="n">
        <v>-17.1</v>
      </c>
      <c r="S234" s="0" t="n">
        <v>1.3</v>
      </c>
      <c r="T234" s="0" t="n">
        <f aca="false">VALUE(VLOOKUP(B234,FgeoVlookup,2,FALSE()))</f>
        <v>1.3</v>
      </c>
      <c r="U234" s="111" t="s">
        <v>397</v>
      </c>
    </row>
    <row r="235" customFormat="false" ht="12.75" hidden="false" customHeight="false" outlineLevel="0" collapsed="false">
      <c r="B235" s="0" t="s">
        <v>546</v>
      </c>
      <c r="C235" s="0" t="s">
        <v>546</v>
      </c>
      <c r="D235" s="0" t="n">
        <v>102504</v>
      </c>
      <c r="E235" s="0" t="n">
        <v>59.84</v>
      </c>
      <c r="F235" s="0" t="n">
        <v>13.15</v>
      </c>
      <c r="G235" s="0" t="n">
        <v>-21.8</v>
      </c>
      <c r="H235" s="0" t="n">
        <v>-20.8</v>
      </c>
      <c r="I235" s="0" t="n">
        <v>-20.1</v>
      </c>
      <c r="J235" s="0" t="n">
        <v>-19.6</v>
      </c>
      <c r="K235" s="0" t="n">
        <v>-19.2</v>
      </c>
      <c r="L235" s="0" t="n">
        <v>-18.7</v>
      </c>
      <c r="M235" s="0" t="n">
        <v>-18.6</v>
      </c>
      <c r="N235" s="0" t="n">
        <v>-18.6</v>
      </c>
      <c r="O235" s="0" t="n">
        <v>-18.2</v>
      </c>
      <c r="P235" s="0" t="n">
        <v>-18</v>
      </c>
      <c r="Q235" s="0" t="n">
        <v>-17.7</v>
      </c>
      <c r="R235" s="0" t="n">
        <v>-17.2</v>
      </c>
      <c r="S235" s="0" t="n">
        <v>1.1</v>
      </c>
      <c r="T235" s="0" t="n">
        <f aca="false">VALUE(VLOOKUP(B235,FgeoVlookup,2,FALSE()))</f>
        <v>1.1</v>
      </c>
      <c r="U235" s="111" t="s">
        <v>546</v>
      </c>
    </row>
    <row r="236" customFormat="false" ht="12.75" hidden="false" customHeight="false" outlineLevel="0" collapsed="false">
      <c r="B236" s="0" t="s">
        <v>436</v>
      </c>
      <c r="C236" s="0" t="s">
        <v>436</v>
      </c>
      <c r="D236" s="0" t="n">
        <v>102636</v>
      </c>
      <c r="E236" s="0" t="n">
        <v>59.71</v>
      </c>
      <c r="F236" s="0" t="n">
        <v>16.22</v>
      </c>
      <c r="G236" s="0" t="n">
        <v>-19</v>
      </c>
      <c r="H236" s="0" t="n">
        <v>-18.4</v>
      </c>
      <c r="I236" s="0" t="n">
        <v>-17.8</v>
      </c>
      <c r="J236" s="0" t="n">
        <v>-17</v>
      </c>
      <c r="K236" s="0" t="n">
        <v>-16.6</v>
      </c>
      <c r="L236" s="0" t="n">
        <v>-16.3</v>
      </c>
      <c r="M236" s="0" t="n">
        <v>-15.9</v>
      </c>
      <c r="N236" s="0" t="n">
        <v>-15.8</v>
      </c>
      <c r="O236" s="0" t="n">
        <v>-15.6</v>
      </c>
      <c r="P236" s="0" t="n">
        <v>-15.6</v>
      </c>
      <c r="Q236" s="0" t="n">
        <v>-15.2</v>
      </c>
      <c r="R236" s="0" t="n">
        <v>-14.9</v>
      </c>
      <c r="S236" s="0" t="n">
        <v>1</v>
      </c>
      <c r="T236" s="0" t="n">
        <f aca="false">VALUE(VLOOKUP(B236,FgeoVlookup,2,FALSE()))</f>
        <v>1</v>
      </c>
      <c r="U236" s="111" t="s">
        <v>436</v>
      </c>
    </row>
    <row r="237" customFormat="false" ht="12.75" hidden="false" customHeight="false" outlineLevel="0" collapsed="false">
      <c r="B237" s="0" t="s">
        <v>589</v>
      </c>
      <c r="C237" s="0" t="s">
        <v>589</v>
      </c>
      <c r="D237" s="0" t="n">
        <v>102126</v>
      </c>
      <c r="E237" s="0" t="n">
        <v>55.91</v>
      </c>
      <c r="F237" s="0" t="n">
        <v>13.11</v>
      </c>
      <c r="G237" s="0" t="n">
        <v>-11.6</v>
      </c>
      <c r="H237" s="0" t="n">
        <v>-10.7</v>
      </c>
      <c r="I237" s="0" t="n">
        <v>-10.1</v>
      </c>
      <c r="J237" s="0" t="n">
        <v>-10.1</v>
      </c>
      <c r="K237" s="0" t="n">
        <v>-10</v>
      </c>
      <c r="L237" s="0" t="n">
        <v>-9.7</v>
      </c>
      <c r="M237" s="0" t="n">
        <v>-9.7</v>
      </c>
      <c r="N237" s="0" t="n">
        <v>-9.3</v>
      </c>
      <c r="O237" s="0" t="n">
        <v>-9.2</v>
      </c>
      <c r="P237" s="0" t="n">
        <v>-8.9</v>
      </c>
      <c r="Q237" s="0" t="n">
        <v>-8.5</v>
      </c>
      <c r="R237" s="0" t="n">
        <v>-8.4</v>
      </c>
      <c r="S237" s="0" t="n">
        <v>0.9</v>
      </c>
      <c r="T237" s="0" t="n">
        <f aca="false">VALUE(VLOOKUP(B237,FgeoVlookup,2,FALSE()))</f>
        <v>0.9</v>
      </c>
      <c r="U237" s="111" t="s">
        <v>589</v>
      </c>
    </row>
    <row r="238" customFormat="false" ht="12.75" hidden="false" customHeight="false" outlineLevel="0" collapsed="false">
      <c r="B238" s="0" t="s">
        <v>592</v>
      </c>
      <c r="C238" s="0" t="s">
        <v>592</v>
      </c>
      <c r="D238" s="0" t="n">
        <v>102122</v>
      </c>
      <c r="E238" s="0" t="n">
        <v>55.51</v>
      </c>
      <c r="F238" s="0" t="n">
        <v>13.24</v>
      </c>
      <c r="G238" s="0" t="n">
        <v>-11.2</v>
      </c>
      <c r="H238" s="0" t="n">
        <v>-10.2</v>
      </c>
      <c r="I238" s="0" t="n">
        <v>-9.8</v>
      </c>
      <c r="J238" s="0" t="n">
        <v>-9.4</v>
      </c>
      <c r="K238" s="0" t="n">
        <v>-9.4</v>
      </c>
      <c r="L238" s="0" t="n">
        <v>-9.1</v>
      </c>
      <c r="M238" s="0" t="n">
        <v>-9</v>
      </c>
      <c r="N238" s="0" t="n">
        <v>-8.6</v>
      </c>
      <c r="O238" s="0" t="n">
        <v>-8.4</v>
      </c>
      <c r="P238" s="0" t="n">
        <v>-8.3</v>
      </c>
      <c r="Q238" s="0" t="n">
        <v>-8.1</v>
      </c>
      <c r="R238" s="0" t="n">
        <v>-8</v>
      </c>
      <c r="S238" s="0" t="n">
        <v>0.9</v>
      </c>
      <c r="T238" s="0" t="n">
        <f aca="false">VALUE(VLOOKUP(B238,FgeoVlookup,2,FALSE()))</f>
        <v>0.9</v>
      </c>
      <c r="U238" s="111" t="s">
        <v>592</v>
      </c>
    </row>
    <row r="239" customFormat="false" ht="12.75" hidden="false" customHeight="false" outlineLevel="0" collapsed="false">
      <c r="A239" s="0" t="s">
        <v>682</v>
      </c>
      <c r="B239" s="0" t="s">
        <v>425</v>
      </c>
      <c r="C239" s="330" t="s">
        <v>682</v>
      </c>
      <c r="D239" s="0" t="n">
        <v>102802</v>
      </c>
      <c r="E239" s="0" t="n">
        <v>62.04</v>
      </c>
      <c r="F239" s="0" t="n">
        <v>14.36</v>
      </c>
      <c r="G239" s="0" t="n">
        <v>-28.9</v>
      </c>
      <c r="H239" s="0" t="n">
        <v>-27.9</v>
      </c>
      <c r="I239" s="0" t="n">
        <v>-26.8</v>
      </c>
      <c r="J239" s="0" t="n">
        <v>-25.7</v>
      </c>
      <c r="K239" s="0" t="n">
        <v>-24.7</v>
      </c>
      <c r="L239" s="0" t="n">
        <v>-23.9</v>
      </c>
      <c r="M239" s="0" t="n">
        <v>-23.5</v>
      </c>
      <c r="N239" s="0" t="n">
        <v>-22.7</v>
      </c>
      <c r="O239" s="0" t="n">
        <v>-22.5</v>
      </c>
      <c r="P239" s="0" t="n">
        <v>-22.2</v>
      </c>
      <c r="Q239" s="0" t="n">
        <v>-22</v>
      </c>
      <c r="R239" s="0" t="n">
        <v>-21.8</v>
      </c>
      <c r="T239" s="0" t="e">
        <f aca="false">VALUE(VLOOKUP(C239,FgeoVlookup,2,FALSE()))</f>
        <v>#N/A</v>
      </c>
      <c r="U239" s="111"/>
      <c r="V239" s="0" t="s">
        <v>683</v>
      </c>
    </row>
    <row r="240" customFormat="false" ht="12.75" hidden="false" customHeight="false" outlineLevel="0" collapsed="false">
      <c r="B240" s="0" t="s">
        <v>637</v>
      </c>
      <c r="C240" s="0" t="s">
        <v>637</v>
      </c>
      <c r="D240" s="0" t="n">
        <v>102245</v>
      </c>
      <c r="E240" s="0" t="n">
        <v>57.5</v>
      </c>
      <c r="F240" s="0" t="n">
        <v>13.12</v>
      </c>
      <c r="G240" s="0" t="n">
        <v>-15.3</v>
      </c>
      <c r="H240" s="0" t="n">
        <v>-14.5</v>
      </c>
      <c r="I240" s="0" t="n">
        <v>-13.6</v>
      </c>
      <c r="J240" s="0" t="n">
        <v>-13.3</v>
      </c>
      <c r="K240" s="0" t="n">
        <v>-13.2</v>
      </c>
      <c r="L240" s="0" t="n">
        <v>-13</v>
      </c>
      <c r="M240" s="0" t="n">
        <v>-12.9</v>
      </c>
      <c r="N240" s="0" t="n">
        <v>-12.9</v>
      </c>
      <c r="O240" s="0" t="n">
        <v>-12.3</v>
      </c>
      <c r="P240" s="0" t="n">
        <v>-12</v>
      </c>
      <c r="Q240" s="0" t="n">
        <v>-11.8</v>
      </c>
      <c r="R240" s="0" t="n">
        <v>-11.5</v>
      </c>
      <c r="S240" s="0" t="n">
        <v>1</v>
      </c>
      <c r="T240" s="0" t="n">
        <f aca="false">VALUE(VLOOKUP(B240,FgeoVlookup,2,FALSE()))</f>
        <v>1</v>
      </c>
      <c r="U240" s="111" t="s">
        <v>637</v>
      </c>
    </row>
    <row r="241" customFormat="false" ht="12.75" hidden="false" customHeight="false" outlineLevel="0" collapsed="false">
      <c r="A241" s="0" t="s">
        <v>684</v>
      </c>
      <c r="B241" s="326" t="s">
        <v>346</v>
      </c>
      <c r="C241" s="0" t="s">
        <v>684</v>
      </c>
      <c r="D241" s="0" t="n">
        <v>102821</v>
      </c>
      <c r="E241" s="0" t="n">
        <v>62.77</v>
      </c>
      <c r="F241" s="0" t="n">
        <v>14.44</v>
      </c>
      <c r="G241" s="0" t="n">
        <v>-25.7</v>
      </c>
      <c r="H241" s="0" t="n">
        <v>-24.6</v>
      </c>
      <c r="I241" s="0" t="n">
        <v>-23.8</v>
      </c>
      <c r="J241" s="0" t="n">
        <v>-23.2</v>
      </c>
      <c r="K241" s="0" t="n">
        <v>-22.1</v>
      </c>
      <c r="L241" s="0" t="n">
        <v>-21.4</v>
      </c>
      <c r="M241" s="0" t="n">
        <v>-20.8</v>
      </c>
      <c r="N241" s="0" t="n">
        <v>-20.1</v>
      </c>
      <c r="O241" s="0" t="n">
        <v>-19.7</v>
      </c>
      <c r="P241" s="0" t="n">
        <v>-19.1</v>
      </c>
      <c r="Q241" s="0" t="n">
        <v>-18.8</v>
      </c>
      <c r="R241" s="0" t="n">
        <v>-18.6</v>
      </c>
      <c r="S241" s="0" t="n">
        <v>1.4</v>
      </c>
      <c r="T241" s="0" t="n">
        <f aca="false">VALUE(VLOOKUP(B241,FgeoVlookup,2,FALSE()))</f>
        <v>1.4</v>
      </c>
      <c r="U241" s="111" t="s">
        <v>346</v>
      </c>
    </row>
    <row r="242" customFormat="false" ht="12.75" hidden="false" customHeight="false" outlineLevel="0" collapsed="false">
      <c r="B242" s="0" t="s">
        <v>376</v>
      </c>
      <c r="C242" s="0" t="s">
        <v>376</v>
      </c>
      <c r="D242" s="0" t="n">
        <v>102502</v>
      </c>
      <c r="E242" s="0" t="n">
        <v>59.13</v>
      </c>
      <c r="F242" s="0" t="n">
        <v>12.92</v>
      </c>
      <c r="G242" s="0" t="n">
        <v>-18.4</v>
      </c>
      <c r="H242" s="0" t="n">
        <v>-17.5</v>
      </c>
      <c r="I242" s="0" t="n">
        <v>-17.1</v>
      </c>
      <c r="J242" s="0" t="n">
        <v>-16.9</v>
      </c>
      <c r="K242" s="0" t="n">
        <v>-16.3</v>
      </c>
      <c r="L242" s="0" t="n">
        <v>-15.9</v>
      </c>
      <c r="M242" s="0" t="n">
        <v>-15.9</v>
      </c>
      <c r="N242" s="0" t="n">
        <v>-15.7</v>
      </c>
      <c r="O242" s="0" t="n">
        <v>-15.6</v>
      </c>
      <c r="P242" s="0" t="n">
        <v>-15.1</v>
      </c>
      <c r="Q242" s="0" t="n">
        <v>-14.8</v>
      </c>
      <c r="R242" s="0" t="n">
        <v>-14.4</v>
      </c>
      <c r="S242" s="0" t="n">
        <v>1</v>
      </c>
      <c r="T242" s="0" t="n">
        <f aca="false">VALUE(VLOOKUP(B242,FgeoVlookup,2,FALSE()))</f>
        <v>1</v>
      </c>
      <c r="U242" s="111" t="s">
        <v>376</v>
      </c>
    </row>
    <row r="243" customFormat="false" ht="12.75" hidden="false" customHeight="false" outlineLevel="0" collapsed="false">
      <c r="A243" s="331" t="s">
        <v>557</v>
      </c>
      <c r="B243" s="331" t="s">
        <v>557</v>
      </c>
      <c r="C243" s="330" t="s">
        <v>557</v>
      </c>
      <c r="D243" s="0" t="n">
        <v>102714</v>
      </c>
      <c r="E243" s="0" t="n">
        <v>61.09</v>
      </c>
      <c r="F243" s="0" t="n">
        <v>13.23</v>
      </c>
      <c r="G243" s="0" t="n">
        <v>-28.7</v>
      </c>
      <c r="H243" s="0" t="n">
        <v>-28.1</v>
      </c>
      <c r="I243" s="0" t="n">
        <v>-26.6</v>
      </c>
      <c r="J243" s="0" t="n">
        <v>-26.4</v>
      </c>
      <c r="K243" s="0" t="n">
        <v>-25.4</v>
      </c>
      <c r="L243" s="0" t="n">
        <v>-25.2</v>
      </c>
      <c r="M243" s="0" t="n">
        <v>-24.9</v>
      </c>
      <c r="N243" s="0" t="n">
        <v>-24.2</v>
      </c>
      <c r="O243" s="0" t="n">
        <v>-24.2</v>
      </c>
      <c r="P243" s="0" t="n">
        <v>-23.9</v>
      </c>
      <c r="Q243" s="0" t="n">
        <v>-23.5</v>
      </c>
      <c r="R243" s="0" t="n">
        <v>-23.5</v>
      </c>
      <c r="T243" s="0" t="n">
        <f aca="false">VALUE(VLOOKUP(C243,FgeoVlookup,2,FALSE()))</f>
        <v>1.3</v>
      </c>
      <c r="U243" s="111"/>
      <c r="V243" s="0" t="s">
        <v>685</v>
      </c>
    </row>
    <row r="244" customFormat="false" ht="12.75" hidden="false" customHeight="false" outlineLevel="0" collapsed="false">
      <c r="B244" s="0" t="s">
        <v>384</v>
      </c>
      <c r="C244" s="0" t="s">
        <v>384</v>
      </c>
      <c r="D244" s="0" t="n">
        <v>102703</v>
      </c>
      <c r="E244" s="0" t="n">
        <v>60.35</v>
      </c>
      <c r="F244" s="0" t="n">
        <v>15.74</v>
      </c>
      <c r="G244" s="0" t="n">
        <v>-20.4</v>
      </c>
      <c r="H244" s="0" t="n">
        <v>-19.4</v>
      </c>
      <c r="I244" s="0" t="n">
        <v>-18.9</v>
      </c>
      <c r="J244" s="0" t="n">
        <v>-18.1</v>
      </c>
      <c r="K244" s="0" t="n">
        <v>-17.9</v>
      </c>
      <c r="L244" s="0" t="n">
        <v>-17.4</v>
      </c>
      <c r="M244" s="0" t="n">
        <v>-17.1</v>
      </c>
      <c r="N244" s="0" t="n">
        <v>-16.8</v>
      </c>
      <c r="O244" s="0" t="n">
        <v>-16.7</v>
      </c>
      <c r="P244" s="0" t="n">
        <v>-16.4</v>
      </c>
      <c r="Q244" s="0" t="n">
        <v>-16.1</v>
      </c>
      <c r="R244" s="0" t="n">
        <v>-16</v>
      </c>
      <c r="S244" s="0" t="n">
        <v>1.1</v>
      </c>
      <c r="T244" s="0" t="n">
        <f aca="false">VALUE(VLOOKUP(B244,FgeoVlookup,2,FALSE()))</f>
        <v>1.1</v>
      </c>
      <c r="U244" s="316" t="s">
        <v>384</v>
      </c>
    </row>
    <row r="245" customFormat="false" ht="12.75" hidden="false" customHeight="false" outlineLevel="0" collapsed="false">
      <c r="B245" s="0" t="s">
        <v>542</v>
      </c>
      <c r="C245" s="0" t="s">
        <v>542</v>
      </c>
      <c r="D245" s="0" t="n">
        <v>102334</v>
      </c>
      <c r="E245" s="0" t="n">
        <v>57.4</v>
      </c>
      <c r="F245" s="0" t="n">
        <v>14.66</v>
      </c>
      <c r="G245" s="0" t="n">
        <v>-16.2</v>
      </c>
      <c r="H245" s="0" t="n">
        <v>-15.3</v>
      </c>
      <c r="I245" s="0" t="n">
        <v>-14.5</v>
      </c>
      <c r="J245" s="0" t="n">
        <v>-14.3</v>
      </c>
      <c r="K245" s="0" t="n">
        <v>-13.7</v>
      </c>
      <c r="L245" s="0" t="n">
        <v>-13.7</v>
      </c>
      <c r="M245" s="0" t="n">
        <v>-13.7</v>
      </c>
      <c r="N245" s="0" t="n">
        <v>-13.7</v>
      </c>
      <c r="O245" s="0" t="n">
        <v>-13.2</v>
      </c>
      <c r="P245" s="0" t="n">
        <v>-12.8</v>
      </c>
      <c r="Q245" s="0" t="n">
        <v>-12.4</v>
      </c>
      <c r="R245" s="0" t="n">
        <v>-12.1</v>
      </c>
      <c r="S245" s="0" t="n">
        <v>1.1</v>
      </c>
      <c r="T245" s="0" t="n">
        <f aca="false">VALUE(VLOOKUP(B245,FgeoVlookup,2,FALSE()))</f>
        <v>1.1</v>
      </c>
      <c r="U245" s="111" t="s">
        <v>542</v>
      </c>
    </row>
    <row r="246" customFormat="false" ht="12.75" hidden="false" customHeight="false" outlineLevel="0" collapsed="false">
      <c r="B246" s="0" t="s">
        <v>478</v>
      </c>
      <c r="C246" s="0" t="s">
        <v>478</v>
      </c>
      <c r="D246" s="0" t="n">
        <v>102719</v>
      </c>
      <c r="E246" s="0" t="n">
        <v>61.31</v>
      </c>
      <c r="F246" s="0" t="n">
        <v>17.08</v>
      </c>
      <c r="G246" s="0" t="n">
        <v>-19.2</v>
      </c>
      <c r="H246" s="0" t="n">
        <v>-18.2</v>
      </c>
      <c r="I246" s="0" t="n">
        <v>-17.6</v>
      </c>
      <c r="J246" s="0" t="n">
        <v>-17.1</v>
      </c>
      <c r="K246" s="0" t="n">
        <v>-16.7</v>
      </c>
      <c r="L246" s="0" t="n">
        <v>-16</v>
      </c>
      <c r="M246" s="0" t="n">
        <v>-15.5</v>
      </c>
      <c r="N246" s="0" t="n">
        <v>-15.5</v>
      </c>
      <c r="O246" s="0" t="n">
        <v>-15.1</v>
      </c>
      <c r="P246" s="0" t="n">
        <v>-14.8</v>
      </c>
      <c r="Q246" s="0" t="n">
        <v>-14.6</v>
      </c>
      <c r="R246" s="0" t="n">
        <v>-14.3</v>
      </c>
      <c r="S246" s="0" t="n">
        <v>1.2</v>
      </c>
      <c r="T246" s="0" t="n">
        <f aca="false">VALUE(VLOOKUP(B246,FgeoVlookup,2,FALSE()))</f>
        <v>1.2</v>
      </c>
      <c r="U246" s="316" t="s">
        <v>478</v>
      </c>
    </row>
    <row r="247" customFormat="false" ht="12.75" hidden="false" customHeight="false" outlineLevel="0" collapsed="false">
      <c r="B247" s="0" t="s">
        <v>538</v>
      </c>
      <c r="C247" s="0" t="s">
        <v>538</v>
      </c>
      <c r="D247" s="0" t="n">
        <v>102247</v>
      </c>
      <c r="E247" s="0" t="n">
        <v>58.73</v>
      </c>
      <c r="F247" s="0" t="n">
        <v>11.33</v>
      </c>
      <c r="G247" s="0" t="n">
        <v>-13.9</v>
      </c>
      <c r="H247" s="0" t="n">
        <v>-13.2</v>
      </c>
      <c r="I247" s="0" t="n">
        <v>-12.8</v>
      </c>
      <c r="J247" s="0" t="n">
        <v>-12.4</v>
      </c>
      <c r="K247" s="0" t="n">
        <v>-12</v>
      </c>
      <c r="L247" s="0" t="n">
        <v>-11.8</v>
      </c>
      <c r="M247" s="0" t="n">
        <v>-11.8</v>
      </c>
      <c r="N247" s="0" t="n">
        <v>-11.3</v>
      </c>
      <c r="O247" s="0" t="n">
        <v>-11.2</v>
      </c>
      <c r="P247" s="0" t="n">
        <v>-11</v>
      </c>
      <c r="Q247" s="0" t="n">
        <v>-10.7</v>
      </c>
      <c r="R247" s="0" t="n">
        <v>-10.5</v>
      </c>
      <c r="S247" s="0" t="n">
        <v>0.9</v>
      </c>
      <c r="T247" s="0" t="n">
        <f aca="false">VALUE(VLOOKUP(B247,FgeoVlookup,2,FALSE()))</f>
        <v>0.9</v>
      </c>
      <c r="U247" s="111" t="s">
        <v>538</v>
      </c>
    </row>
    <row r="248" customFormat="false" ht="12.75" hidden="false" customHeight="false" outlineLevel="0" collapsed="false">
      <c r="B248" s="0" t="s">
        <v>638</v>
      </c>
      <c r="C248" s="0" t="s">
        <v>638</v>
      </c>
      <c r="D248" s="0" t="n">
        <v>102241</v>
      </c>
      <c r="E248" s="0" t="n">
        <v>58.42</v>
      </c>
      <c r="F248" s="0" t="n">
        <v>14.17</v>
      </c>
      <c r="G248" s="0" t="n">
        <v>-15.1</v>
      </c>
      <c r="H248" s="0" t="n">
        <v>-14.5</v>
      </c>
      <c r="I248" s="0" t="n">
        <v>-13.7</v>
      </c>
      <c r="J248" s="0" t="n">
        <v>-13.2</v>
      </c>
      <c r="K248" s="0" t="n">
        <v>-13.1</v>
      </c>
      <c r="L248" s="0" t="n">
        <v>-12.7</v>
      </c>
      <c r="M248" s="0" t="n">
        <v>-12.7</v>
      </c>
      <c r="N248" s="0" t="n">
        <v>-12.7</v>
      </c>
      <c r="O248" s="0" t="n">
        <v>-12.2</v>
      </c>
      <c r="P248" s="0" t="n">
        <v>-11.8</v>
      </c>
      <c r="Q248" s="0" t="n">
        <v>-11.3</v>
      </c>
      <c r="R248" s="0" t="n">
        <v>-11</v>
      </c>
      <c r="S248" s="0" t="n">
        <v>1</v>
      </c>
      <c r="T248" s="0" t="n">
        <f aca="false">VALUE(VLOOKUP(B248,FgeoVlookup,2,FALSE()))</f>
        <v>1</v>
      </c>
      <c r="U248" s="111" t="s">
        <v>638</v>
      </c>
    </row>
    <row r="249" customFormat="false" ht="12.75" hidden="false" customHeight="false" outlineLevel="0" collapsed="false">
      <c r="B249" s="0" t="s">
        <v>639</v>
      </c>
      <c r="C249" s="0" t="s">
        <v>639</v>
      </c>
      <c r="D249" s="0" t="n">
        <v>102251</v>
      </c>
      <c r="E249" s="0" t="n">
        <v>58.18</v>
      </c>
      <c r="F249" s="0" t="n">
        <v>13.95</v>
      </c>
      <c r="G249" s="0" t="n">
        <v>-15.4</v>
      </c>
      <c r="H249" s="0" t="n">
        <v>-14.8</v>
      </c>
      <c r="I249" s="0" t="n">
        <v>-14.2</v>
      </c>
      <c r="J249" s="0" t="n">
        <v>-13.3</v>
      </c>
      <c r="K249" s="0" t="n">
        <v>-13.3</v>
      </c>
      <c r="L249" s="0" t="n">
        <v>-12.8</v>
      </c>
      <c r="M249" s="0" t="n">
        <v>-12.8</v>
      </c>
      <c r="N249" s="0" t="n">
        <v>-12.8</v>
      </c>
      <c r="O249" s="0" t="n">
        <v>-12.5</v>
      </c>
      <c r="P249" s="0" t="n">
        <v>-12</v>
      </c>
      <c r="Q249" s="0" t="n">
        <v>-11.6</v>
      </c>
      <c r="R249" s="0" t="n">
        <v>-11.2</v>
      </c>
      <c r="S249" s="0" t="n">
        <v>1</v>
      </c>
      <c r="T249" s="0" t="n">
        <f aca="false">VALUE(VLOOKUP(B249,FgeoVlookup,2,FALSE()))</f>
        <v>1</v>
      </c>
      <c r="U249" s="111" t="s">
        <v>639</v>
      </c>
    </row>
    <row r="250" customFormat="false" ht="12.75" hidden="false" customHeight="false" outlineLevel="0" collapsed="false">
      <c r="B250" s="0" t="s">
        <v>450</v>
      </c>
      <c r="C250" s="0" t="s">
        <v>450</v>
      </c>
      <c r="D250" s="0" t="n">
        <v>102619</v>
      </c>
      <c r="E250" s="0" t="n">
        <v>60.35</v>
      </c>
      <c r="F250" s="0" t="n">
        <v>17.52</v>
      </c>
      <c r="G250" s="0" t="n">
        <v>-17.7</v>
      </c>
      <c r="H250" s="0" t="n">
        <v>-17</v>
      </c>
      <c r="I250" s="0" t="n">
        <v>-16.3</v>
      </c>
      <c r="J250" s="0" t="n">
        <v>-15.8</v>
      </c>
      <c r="K250" s="0" t="n">
        <v>-15.3</v>
      </c>
      <c r="L250" s="0" t="n">
        <v>-15</v>
      </c>
      <c r="M250" s="0" t="n">
        <v>-14.9</v>
      </c>
      <c r="N250" s="0" t="n">
        <v>-14.8</v>
      </c>
      <c r="O250" s="0" t="n">
        <v>-14.7</v>
      </c>
      <c r="P250" s="0" t="n">
        <v>-14.4</v>
      </c>
      <c r="Q250" s="0" t="n">
        <v>-14.3</v>
      </c>
      <c r="R250" s="0" t="n">
        <v>-14.1</v>
      </c>
      <c r="S250" s="0" t="n">
        <v>1.1</v>
      </c>
      <c r="T250" s="0" t="n">
        <f aca="false">VALUE(VLOOKUP(B250,FgeoVlookup,2,FALSE()))</f>
        <v>1.1</v>
      </c>
      <c r="U250" s="111" t="s">
        <v>450</v>
      </c>
    </row>
    <row r="251" customFormat="false" ht="12.75" hidden="false" customHeight="false" outlineLevel="0" collapsed="false">
      <c r="B251" s="0" t="s">
        <v>416</v>
      </c>
      <c r="C251" s="0" t="s">
        <v>416</v>
      </c>
      <c r="D251" s="0" t="n">
        <v>102822</v>
      </c>
      <c r="E251" s="0" t="n">
        <v>62.5</v>
      </c>
      <c r="F251" s="0" t="n">
        <v>17.33</v>
      </c>
      <c r="G251" s="0" t="n">
        <v>-23.2</v>
      </c>
      <c r="H251" s="0" t="n">
        <v>-22.5</v>
      </c>
      <c r="I251" s="0" t="n">
        <v>-21.9</v>
      </c>
      <c r="J251" s="0" t="n">
        <v>-21.1</v>
      </c>
      <c r="K251" s="0" t="n">
        <v>-20.2</v>
      </c>
      <c r="L251" s="0" t="n">
        <v>-19.8</v>
      </c>
      <c r="M251" s="0" t="n">
        <v>-19.1</v>
      </c>
      <c r="N251" s="0" t="n">
        <v>-18.6</v>
      </c>
      <c r="O251" s="0" t="n">
        <v>-18.3</v>
      </c>
      <c r="P251" s="0" t="n">
        <v>-18.2</v>
      </c>
      <c r="Q251" s="0" t="n">
        <v>-17.7</v>
      </c>
      <c r="R251" s="0" t="n">
        <v>-17.4</v>
      </c>
      <c r="S251" s="0" t="n">
        <v>1.3</v>
      </c>
      <c r="T251" s="0" t="n">
        <f aca="false">VALUE(VLOOKUP(B251,FgeoVlookup,2,FALSE()))</f>
        <v>1.3</v>
      </c>
      <c r="U251" s="111" t="s">
        <v>416</v>
      </c>
    </row>
    <row r="252" customFormat="false" ht="12.75" hidden="false" customHeight="false" outlineLevel="0" collapsed="false">
      <c r="B252" s="224" t="s">
        <v>548</v>
      </c>
      <c r="C252" s="0" t="s">
        <v>548</v>
      </c>
      <c r="D252" s="0" t="n">
        <v>102237</v>
      </c>
      <c r="E252" s="0" t="n">
        <v>58</v>
      </c>
      <c r="F252" s="0" t="n">
        <v>11.55</v>
      </c>
      <c r="G252" s="0" t="n">
        <v>-12.3</v>
      </c>
      <c r="H252" s="0" t="n">
        <v>-11.7</v>
      </c>
      <c r="I252" s="0" t="n">
        <v>-11.1</v>
      </c>
      <c r="J252" s="0" t="n">
        <v>-10.8</v>
      </c>
      <c r="K252" s="0" t="n">
        <v>-10.4</v>
      </c>
      <c r="L252" s="0" t="n">
        <v>-10.3</v>
      </c>
      <c r="M252" s="0" t="n">
        <v>-10.1</v>
      </c>
      <c r="N252" s="0" t="n">
        <v>-10.1</v>
      </c>
      <c r="O252" s="0" t="n">
        <v>-10</v>
      </c>
      <c r="P252" s="0" t="n">
        <v>-9.7</v>
      </c>
      <c r="Q252" s="0" t="n">
        <v>-9.5</v>
      </c>
      <c r="R252" s="0" t="n">
        <v>-9.2</v>
      </c>
      <c r="S252" s="0" t="n">
        <v>0.9</v>
      </c>
      <c r="T252" s="0" t="n">
        <f aca="false">VALUE(VLOOKUP(B252,FgeoVlookup,2,FALSE()))</f>
        <v>0.9</v>
      </c>
      <c r="U252" s="332" t="s">
        <v>548</v>
      </c>
    </row>
    <row r="253" customFormat="false" ht="12.75" hidden="false" customHeight="false" outlineLevel="0" collapsed="false">
      <c r="B253" s="0" t="s">
        <v>595</v>
      </c>
      <c r="C253" s="0" t="s">
        <v>595</v>
      </c>
      <c r="D253" s="0" t="n">
        <v>102123</v>
      </c>
      <c r="E253" s="0" t="n">
        <v>55.55</v>
      </c>
      <c r="F253" s="0" t="n">
        <v>13.94</v>
      </c>
      <c r="G253" s="0" t="n">
        <v>-11.1</v>
      </c>
      <c r="H253" s="0" t="n">
        <v>-10.6</v>
      </c>
      <c r="I253" s="0" t="n">
        <v>-10</v>
      </c>
      <c r="J253" s="0" t="n">
        <v>-9.8</v>
      </c>
      <c r="K253" s="0" t="n">
        <v>-9.6</v>
      </c>
      <c r="L253" s="0" t="n">
        <v>-9.2</v>
      </c>
      <c r="M253" s="0" t="n">
        <v>-9.2</v>
      </c>
      <c r="N253" s="0" t="n">
        <v>-8.9</v>
      </c>
      <c r="O253" s="0" t="n">
        <v>-8.8</v>
      </c>
      <c r="P253" s="0" t="n">
        <v>-8.5</v>
      </c>
      <c r="Q253" s="0" t="n">
        <v>-8.2</v>
      </c>
      <c r="R253" s="0" t="n">
        <v>-8</v>
      </c>
      <c r="S253" s="0" t="n">
        <v>0.9</v>
      </c>
      <c r="T253" s="0" t="n">
        <f aca="false">VALUE(VLOOKUP(B253,FgeoVlookup,2,FALSE()))</f>
        <v>0.9</v>
      </c>
      <c r="U253" s="111" t="s">
        <v>595</v>
      </c>
    </row>
    <row r="254" customFormat="false" ht="12.75" hidden="false" customHeight="false" outlineLevel="0" collapsed="false">
      <c r="B254" s="0" t="s">
        <v>566</v>
      </c>
      <c r="C254" s="0" t="s">
        <v>566</v>
      </c>
      <c r="D254" s="0" t="n">
        <v>102505</v>
      </c>
      <c r="E254" s="0" t="n">
        <v>60.13</v>
      </c>
      <c r="F254" s="0" t="n">
        <v>13.01</v>
      </c>
      <c r="G254" s="0" t="n">
        <v>-22.8</v>
      </c>
      <c r="H254" s="0" t="n">
        <v>-21.9</v>
      </c>
      <c r="I254" s="0" t="n">
        <v>-21.1</v>
      </c>
      <c r="J254" s="0" t="n">
        <v>-20.8</v>
      </c>
      <c r="K254" s="0" t="n">
        <v>-20</v>
      </c>
      <c r="L254" s="0" t="n">
        <v>-19.6</v>
      </c>
      <c r="M254" s="0" t="n">
        <v>-19.4</v>
      </c>
      <c r="N254" s="0" t="n">
        <v>-19.1</v>
      </c>
      <c r="O254" s="0" t="n">
        <v>-18.9</v>
      </c>
      <c r="P254" s="0" t="n">
        <v>-18.8</v>
      </c>
      <c r="Q254" s="0" t="n">
        <v>-18.5</v>
      </c>
      <c r="R254" s="0" t="n">
        <v>-18.3</v>
      </c>
      <c r="S254" s="0" t="n">
        <v>1.2</v>
      </c>
      <c r="T254" s="0" t="n">
        <f aca="false">VALUE(VLOOKUP(B254,FgeoVlookup,2,FALSE()))</f>
        <v>1.2</v>
      </c>
      <c r="U254" s="111" t="s">
        <v>566</v>
      </c>
    </row>
    <row r="255" customFormat="false" ht="12.75" hidden="false" customHeight="false" outlineLevel="0" collapsed="false">
      <c r="B255" s="0" t="s">
        <v>481</v>
      </c>
      <c r="C255" s="0" t="s">
        <v>481</v>
      </c>
      <c r="D255" s="0" t="n">
        <v>102306</v>
      </c>
      <c r="E255" s="0" t="n">
        <v>56.41</v>
      </c>
      <c r="F255" s="0" t="n">
        <v>16</v>
      </c>
      <c r="G255" s="0" t="n">
        <v>-11.6</v>
      </c>
      <c r="H255" s="0" t="n">
        <v>-11.1</v>
      </c>
      <c r="I255" s="0" t="n">
        <v>-10.6</v>
      </c>
      <c r="J255" s="0" t="n">
        <v>-10.2</v>
      </c>
      <c r="K255" s="0" t="n">
        <v>-9.9</v>
      </c>
      <c r="L255" s="0" t="n">
        <v>-9.8</v>
      </c>
      <c r="M255" s="0" t="n">
        <v>-9.6</v>
      </c>
      <c r="N255" s="0" t="n">
        <v>-9.5</v>
      </c>
      <c r="O255" s="0" t="n">
        <v>-9.2</v>
      </c>
      <c r="P255" s="0" t="n">
        <v>-8.9</v>
      </c>
      <c r="Q255" s="0" t="n">
        <v>-8.6</v>
      </c>
      <c r="R255" s="0" t="n">
        <v>-8.4</v>
      </c>
      <c r="S255" s="0" t="n">
        <v>0.9</v>
      </c>
      <c r="T255" s="0" t="n">
        <f aca="false">VALUE(VLOOKUP(B255,FgeoVlookup,2,FALSE()))</f>
        <v>0.9</v>
      </c>
      <c r="U255" s="111" t="s">
        <v>481</v>
      </c>
    </row>
    <row r="256" customFormat="false" ht="12.75" hidden="false" customHeight="false" outlineLevel="0" collapsed="false">
      <c r="B256" s="0" t="s">
        <v>646</v>
      </c>
      <c r="C256" s="0" t="s">
        <v>646</v>
      </c>
      <c r="D256" s="0" t="n">
        <v>102250</v>
      </c>
      <c r="E256" s="0" t="n">
        <v>57.48</v>
      </c>
      <c r="F256" s="0" t="n">
        <v>13.35</v>
      </c>
      <c r="G256" s="0" t="n">
        <v>-15.6</v>
      </c>
      <c r="H256" s="0" t="n">
        <v>-14.7</v>
      </c>
      <c r="I256" s="0" t="n">
        <v>-14</v>
      </c>
      <c r="J256" s="0" t="n">
        <v>-13.6</v>
      </c>
      <c r="K256" s="0" t="n">
        <v>-13.3</v>
      </c>
      <c r="L256" s="0" t="n">
        <v>-13.2</v>
      </c>
      <c r="M256" s="0" t="n">
        <v>-13.1</v>
      </c>
      <c r="N256" s="0" t="n">
        <v>-13</v>
      </c>
      <c r="O256" s="0" t="n">
        <v>-12.4</v>
      </c>
      <c r="P256" s="0" t="n">
        <v>-12.2</v>
      </c>
      <c r="Q256" s="0" t="n">
        <v>-11.9</v>
      </c>
      <c r="R256" s="0" t="n">
        <v>-11.7</v>
      </c>
      <c r="S256" s="0" t="n">
        <v>1.1</v>
      </c>
      <c r="T256" s="0" t="n">
        <f aca="false">VALUE(VLOOKUP(B256,FgeoVlookup,2,FALSE()))</f>
        <v>1.1</v>
      </c>
      <c r="U256" s="111" t="s">
        <v>646</v>
      </c>
    </row>
    <row r="257" customFormat="false" ht="12.75" hidden="false" customHeight="false" outlineLevel="0" collapsed="false">
      <c r="B257" s="0" t="s">
        <v>462</v>
      </c>
      <c r="C257" s="0" t="s">
        <v>462</v>
      </c>
      <c r="D257" s="0" t="n">
        <v>102328</v>
      </c>
      <c r="E257" s="0" t="n">
        <v>58.03</v>
      </c>
      <c r="F257" s="0" t="n">
        <v>14.98</v>
      </c>
      <c r="G257" s="0" t="n">
        <v>-15.7</v>
      </c>
      <c r="H257" s="0" t="n">
        <v>-15.3</v>
      </c>
      <c r="I257" s="0" t="n">
        <v>-14.4</v>
      </c>
      <c r="J257" s="0" t="n">
        <v>-13.6</v>
      </c>
      <c r="K257" s="0" t="n">
        <v>-13.5</v>
      </c>
      <c r="L257" s="0" t="n">
        <v>-12.9</v>
      </c>
      <c r="M257" s="0" t="n">
        <v>-12.9</v>
      </c>
      <c r="N257" s="0" t="n">
        <v>-12.9</v>
      </c>
      <c r="O257" s="0" t="n">
        <v>-12.4</v>
      </c>
      <c r="P257" s="0" t="n">
        <v>-12.1</v>
      </c>
      <c r="Q257" s="0" t="n">
        <v>-11.6</v>
      </c>
      <c r="R257" s="0" t="n">
        <v>-11.4</v>
      </c>
      <c r="S257" s="0" t="n">
        <v>1</v>
      </c>
      <c r="T257" s="0" t="n">
        <f aca="false">VALUE(VLOOKUP(B257,FgeoVlookup,2,FALSE()))</f>
        <v>1</v>
      </c>
      <c r="U257" s="111" t="s">
        <v>462</v>
      </c>
    </row>
    <row r="258" customFormat="false" ht="12.75" hidden="false" customHeight="false" outlineLevel="0" collapsed="false">
      <c r="B258" s="0" t="s">
        <v>599</v>
      </c>
      <c r="C258" s="0" t="s">
        <v>599</v>
      </c>
      <c r="D258" s="0" t="n">
        <v>102101</v>
      </c>
      <c r="E258" s="0" t="n">
        <v>55.38</v>
      </c>
      <c r="F258" s="0" t="n">
        <v>13.17</v>
      </c>
      <c r="G258" s="0" t="n">
        <v>-10.3</v>
      </c>
      <c r="H258" s="0" t="n">
        <v>-9.3</v>
      </c>
      <c r="I258" s="0" t="n">
        <v>-9</v>
      </c>
      <c r="J258" s="0" t="n">
        <v>-8.8</v>
      </c>
      <c r="K258" s="0" t="n">
        <v>-8.5</v>
      </c>
      <c r="L258" s="0" t="n">
        <v>-8.3</v>
      </c>
      <c r="M258" s="0" t="n">
        <v>-8.2</v>
      </c>
      <c r="N258" s="0" t="n">
        <v>-7.9</v>
      </c>
      <c r="O258" s="0" t="n">
        <v>-7.8</v>
      </c>
      <c r="P258" s="0" t="n">
        <v>-7.7</v>
      </c>
      <c r="Q258" s="0" t="n">
        <v>-7.5</v>
      </c>
      <c r="R258" s="0" t="n">
        <v>-7.4</v>
      </c>
      <c r="S258" s="0" t="n">
        <v>0.9</v>
      </c>
      <c r="T258" s="0" t="n">
        <f aca="false">VALUE(VLOOKUP(B258,FgeoVlookup,2,FALSE()))</f>
        <v>0.9</v>
      </c>
      <c r="U258" s="111" t="s">
        <v>599</v>
      </c>
    </row>
    <row r="259" customFormat="false" ht="12.75" hidden="false" customHeight="false" outlineLevel="0" collapsed="false">
      <c r="B259" s="0" t="s">
        <v>640</v>
      </c>
      <c r="C259" s="0" t="s">
        <v>640</v>
      </c>
      <c r="D259" s="0" t="n">
        <v>102212</v>
      </c>
      <c r="E259" s="0" t="n">
        <v>58.28</v>
      </c>
      <c r="F259" s="0" t="n">
        <v>12.3</v>
      </c>
      <c r="G259" s="0" t="n">
        <v>-14.9</v>
      </c>
      <c r="H259" s="0" t="n">
        <v>-14.3</v>
      </c>
      <c r="I259" s="0" t="n">
        <v>-13.7</v>
      </c>
      <c r="J259" s="0" t="n">
        <v>-13.3</v>
      </c>
      <c r="K259" s="0" t="n">
        <v>-13.1</v>
      </c>
      <c r="L259" s="0" t="n">
        <v>-13</v>
      </c>
      <c r="M259" s="0" t="n">
        <v>-12.9</v>
      </c>
      <c r="N259" s="0" t="n">
        <v>-12.6</v>
      </c>
      <c r="O259" s="0" t="n">
        <v>-12.5</v>
      </c>
      <c r="P259" s="0" t="n">
        <v>-12</v>
      </c>
      <c r="Q259" s="0" t="n">
        <v>-11.5</v>
      </c>
      <c r="R259" s="0" t="n">
        <v>-11.3</v>
      </c>
      <c r="S259" s="0" t="n">
        <v>1</v>
      </c>
      <c r="T259" s="0" t="n">
        <f aca="false">VALUE(VLOOKUP(B259,FgeoVlookup,2,FALSE()))</f>
        <v>1</v>
      </c>
      <c r="U259" s="111" t="s">
        <v>640</v>
      </c>
    </row>
    <row r="260" customFormat="false" ht="12.75" hidden="false" customHeight="false" outlineLevel="0" collapsed="false">
      <c r="B260" s="0" t="s">
        <v>641</v>
      </c>
      <c r="C260" s="0" t="s">
        <v>641</v>
      </c>
      <c r="D260" s="0" t="n">
        <v>102239</v>
      </c>
      <c r="E260" s="0" t="n">
        <v>58.72</v>
      </c>
      <c r="F260" s="0" t="n">
        <v>14.13</v>
      </c>
      <c r="G260" s="0" t="n">
        <v>-15.7</v>
      </c>
      <c r="H260" s="0" t="n">
        <v>-15.1</v>
      </c>
      <c r="I260" s="0" t="n">
        <v>-14.4</v>
      </c>
      <c r="J260" s="0" t="n">
        <v>-14.1</v>
      </c>
      <c r="K260" s="0" t="n">
        <v>-13.6</v>
      </c>
      <c r="L260" s="0" t="n">
        <v>-13.6</v>
      </c>
      <c r="M260" s="0" t="n">
        <v>-13.3</v>
      </c>
      <c r="N260" s="0" t="n">
        <v>-13.2</v>
      </c>
      <c r="O260" s="0" t="n">
        <v>-12.6</v>
      </c>
      <c r="P260" s="0" t="n">
        <v>-12.2</v>
      </c>
      <c r="Q260" s="0" t="n">
        <v>-12</v>
      </c>
      <c r="R260" s="0" t="n">
        <v>-11.4</v>
      </c>
      <c r="S260" s="0" t="n">
        <v>1</v>
      </c>
      <c r="T260" s="0" t="n">
        <f aca="false">VALUE(VLOOKUP(B260,FgeoVlookup,2,FALSE()))</f>
        <v>1</v>
      </c>
      <c r="U260" s="111" t="s">
        <v>641</v>
      </c>
    </row>
    <row r="261" customFormat="false" ht="12.75" hidden="false" customHeight="false" outlineLevel="0" collapsed="false">
      <c r="B261" s="0" t="s">
        <v>556</v>
      </c>
      <c r="C261" s="0" t="s">
        <v>556</v>
      </c>
      <c r="D261" s="0" t="n">
        <v>102210</v>
      </c>
      <c r="E261" s="0" t="n">
        <v>58.35</v>
      </c>
      <c r="F261" s="0" t="n">
        <v>11.8</v>
      </c>
      <c r="G261" s="0" t="n">
        <v>-13.8</v>
      </c>
      <c r="H261" s="0" t="n">
        <v>-13.1</v>
      </c>
      <c r="I261" s="0" t="n">
        <v>-12.6</v>
      </c>
      <c r="J261" s="0" t="n">
        <v>-12.3</v>
      </c>
      <c r="K261" s="0" t="n">
        <v>-11.9</v>
      </c>
      <c r="L261" s="0" t="n">
        <v>-11.8</v>
      </c>
      <c r="M261" s="0" t="n">
        <v>-11.5</v>
      </c>
      <c r="N261" s="0" t="n">
        <v>-11.5</v>
      </c>
      <c r="O261" s="0" t="n">
        <v>-11.3</v>
      </c>
      <c r="P261" s="0" t="n">
        <v>-10.9</v>
      </c>
      <c r="Q261" s="0" t="n">
        <v>-10.7</v>
      </c>
      <c r="R261" s="0" t="n">
        <v>-10.6</v>
      </c>
      <c r="S261" s="0" t="n">
        <v>0.9</v>
      </c>
      <c r="T261" s="0" t="n">
        <f aca="false">VALUE(VLOOKUP(B261,FgeoVlookup,2,FALSE()))</f>
        <v>0.9</v>
      </c>
      <c r="U261" s="111" t="s">
        <v>556</v>
      </c>
    </row>
    <row r="262" customFormat="false" ht="12.75" hidden="false" customHeight="false" outlineLevel="0" collapsed="false">
      <c r="B262" s="0" t="s">
        <v>647</v>
      </c>
      <c r="C262" s="0" t="s">
        <v>647</v>
      </c>
      <c r="D262" s="0" t="n">
        <v>102207</v>
      </c>
      <c r="E262" s="0" t="n">
        <v>57.8</v>
      </c>
      <c r="F262" s="0" t="n">
        <v>13.41</v>
      </c>
      <c r="G262" s="0" t="n">
        <v>-16</v>
      </c>
      <c r="H262" s="0" t="n">
        <v>-15.5</v>
      </c>
      <c r="I262" s="0" t="n">
        <v>-14.7</v>
      </c>
      <c r="J262" s="0" t="n">
        <v>-14.5</v>
      </c>
      <c r="K262" s="0" t="n">
        <v>-14.1</v>
      </c>
      <c r="L262" s="0" t="n">
        <v>-13.9</v>
      </c>
      <c r="M262" s="0" t="n">
        <v>-13.8</v>
      </c>
      <c r="N262" s="0" t="n">
        <v>-13.6</v>
      </c>
      <c r="O262" s="0" t="n">
        <v>-13.2</v>
      </c>
      <c r="P262" s="0" t="n">
        <v>-12.7</v>
      </c>
      <c r="Q262" s="0" t="n">
        <v>-12.4</v>
      </c>
      <c r="R262" s="0" t="n">
        <v>-11.9</v>
      </c>
      <c r="S262" s="0" t="n">
        <v>1.1</v>
      </c>
      <c r="T262" s="0" t="n">
        <f aca="false">VALUE(VLOOKUP(B262,FgeoVlookup,2,FALSE()))</f>
        <v>1.1</v>
      </c>
      <c r="U262" s="111" t="s">
        <v>647</v>
      </c>
    </row>
    <row r="263" customFormat="false" ht="12.75" hidden="false" customHeight="false" outlineLevel="0" collapsed="false">
      <c r="B263" s="0" t="s">
        <v>377</v>
      </c>
      <c r="C263" s="0" t="s">
        <v>377</v>
      </c>
      <c r="D263" s="0" t="n">
        <v>102905</v>
      </c>
      <c r="E263" s="0" t="n">
        <v>63.83</v>
      </c>
      <c r="F263" s="0" t="n">
        <v>20.26</v>
      </c>
      <c r="G263" s="0" t="n">
        <v>-23.5</v>
      </c>
      <c r="H263" s="0" t="n">
        <v>-22.8</v>
      </c>
      <c r="I263" s="0" t="n">
        <v>-22.1</v>
      </c>
      <c r="J263" s="0" t="n">
        <v>-21.5</v>
      </c>
      <c r="K263" s="0" t="n">
        <v>-21.4</v>
      </c>
      <c r="L263" s="0" t="n">
        <v>-20.9</v>
      </c>
      <c r="M263" s="0" t="n">
        <v>-20.4</v>
      </c>
      <c r="N263" s="0" t="n">
        <v>-20.4</v>
      </c>
      <c r="O263" s="0" t="n">
        <v>-19.9</v>
      </c>
      <c r="P263" s="0" t="n">
        <v>-19.5</v>
      </c>
      <c r="Q263" s="0" t="n">
        <v>-19.2</v>
      </c>
      <c r="R263" s="0" t="n">
        <v>-18.8</v>
      </c>
      <c r="S263" s="0" t="n">
        <v>1.3</v>
      </c>
      <c r="T263" s="0" t="n">
        <f aca="false">VALUE(VLOOKUP(B263,FgeoVlookup,2,FALSE()))</f>
        <v>1.3</v>
      </c>
      <c r="U263" s="111" t="s">
        <v>377</v>
      </c>
    </row>
    <row r="264" customFormat="false" ht="12.75" hidden="false" customHeight="false" outlineLevel="0" collapsed="false">
      <c r="B264" s="0" t="s">
        <v>333</v>
      </c>
      <c r="C264" s="0" t="s">
        <v>333</v>
      </c>
      <c r="D264" s="0" t="n">
        <v>102617</v>
      </c>
      <c r="E264" s="0" t="n">
        <v>59.84</v>
      </c>
      <c r="F264" s="0" t="n">
        <v>17.64</v>
      </c>
      <c r="G264" s="0" t="n">
        <v>-18.1</v>
      </c>
      <c r="H264" s="0" t="n">
        <v>-17.3</v>
      </c>
      <c r="I264" s="0" t="n">
        <v>-16.7</v>
      </c>
      <c r="J264" s="0" t="n">
        <v>-16.1</v>
      </c>
      <c r="K264" s="0" t="n">
        <v>-15.6</v>
      </c>
      <c r="L264" s="0" t="n">
        <v>-15.3</v>
      </c>
      <c r="M264" s="0" t="n">
        <v>-15</v>
      </c>
      <c r="N264" s="0" t="n">
        <v>-14.8</v>
      </c>
      <c r="O264" s="0" t="n">
        <v>-14.7</v>
      </c>
      <c r="P264" s="0" t="n">
        <v>-14.5</v>
      </c>
      <c r="Q264" s="0" t="n">
        <v>-14.2</v>
      </c>
      <c r="R264" s="0" t="n">
        <v>-14</v>
      </c>
      <c r="S264" s="0" t="n">
        <v>1</v>
      </c>
      <c r="T264" s="0" t="n">
        <f aca="false">VALUE(VLOOKUP(B264,FgeoVlookup,2,FALSE()))</f>
        <v>1</v>
      </c>
      <c r="U264" s="111" t="s">
        <v>333</v>
      </c>
    </row>
    <row r="265" customFormat="false" ht="12.75" hidden="false" customHeight="false" outlineLevel="0" collapsed="false">
      <c r="B265" s="0" t="s">
        <v>480</v>
      </c>
      <c r="C265" s="0" t="s">
        <v>480</v>
      </c>
      <c r="D265" s="0" t="n">
        <v>102319</v>
      </c>
      <c r="E265" s="0" t="n">
        <v>57.5</v>
      </c>
      <c r="F265" s="0" t="n">
        <v>14.14</v>
      </c>
      <c r="G265" s="0" t="n">
        <v>-16.3</v>
      </c>
      <c r="H265" s="0" t="n">
        <v>-15.5</v>
      </c>
      <c r="I265" s="0" t="n">
        <v>-14.7</v>
      </c>
      <c r="J265" s="0" t="n">
        <v>-14.3</v>
      </c>
      <c r="K265" s="0" t="n">
        <v>-13.8</v>
      </c>
      <c r="L265" s="0" t="n">
        <v>-13.6</v>
      </c>
      <c r="M265" s="0" t="n">
        <v>-13.6</v>
      </c>
      <c r="N265" s="0" t="n">
        <v>-13.6</v>
      </c>
      <c r="O265" s="0" t="n">
        <v>-13.1</v>
      </c>
      <c r="P265" s="0" t="n">
        <v>-12.7</v>
      </c>
      <c r="Q265" s="0" t="n">
        <v>-12.4</v>
      </c>
      <c r="R265" s="0" t="n">
        <v>-12</v>
      </c>
      <c r="S265" s="0" t="n">
        <v>1</v>
      </c>
      <c r="T265" s="0" t="n">
        <f aca="false">VALUE(VLOOKUP(B265,FgeoVlookup,2,FALSE()))</f>
        <v>1</v>
      </c>
      <c r="U265" s="111" t="s">
        <v>480</v>
      </c>
    </row>
    <row r="266" customFormat="false" ht="12.75" hidden="false" customHeight="false" outlineLevel="0" collapsed="false">
      <c r="B266" s="0" t="s">
        <v>541</v>
      </c>
      <c r="C266" s="0" t="s">
        <v>541</v>
      </c>
      <c r="D266" s="0" t="n">
        <v>102705</v>
      </c>
      <c r="E266" s="0" t="n">
        <v>60.51</v>
      </c>
      <c r="F266" s="0" t="n">
        <v>14.22</v>
      </c>
      <c r="G266" s="0" t="n">
        <v>-23.8</v>
      </c>
      <c r="H266" s="0" t="n">
        <v>-22.5</v>
      </c>
      <c r="I266" s="0" t="n">
        <v>-22</v>
      </c>
      <c r="J266" s="0" t="n">
        <v>-21.7</v>
      </c>
      <c r="K266" s="0" t="n">
        <v>-20.9</v>
      </c>
      <c r="L266" s="0" t="n">
        <v>-20.3</v>
      </c>
      <c r="M266" s="0" t="n">
        <v>-20.2</v>
      </c>
      <c r="N266" s="0" t="n">
        <v>-19.7</v>
      </c>
      <c r="O266" s="0" t="n">
        <v>-19.3</v>
      </c>
      <c r="P266" s="0" t="n">
        <v>-19.1</v>
      </c>
      <c r="Q266" s="0" t="n">
        <v>-19</v>
      </c>
      <c r="R266" s="0" t="n">
        <v>-18.9</v>
      </c>
      <c r="S266" s="0" t="n">
        <v>1.2</v>
      </c>
      <c r="T266" s="0" t="n">
        <f aca="false">VALUE(VLOOKUP(B266,FgeoVlookup,2,FALSE()))</f>
        <v>1.2</v>
      </c>
      <c r="U266" s="316" t="s">
        <v>541</v>
      </c>
    </row>
    <row r="267" customFormat="false" ht="12.75" hidden="false" customHeight="false" outlineLevel="0" collapsed="false">
      <c r="B267" s="0" t="s">
        <v>642</v>
      </c>
      <c r="C267" s="0" t="s">
        <v>642</v>
      </c>
      <c r="D267" s="0" t="n">
        <v>102523</v>
      </c>
      <c r="E267" s="0" t="n">
        <v>58.32</v>
      </c>
      <c r="F267" s="0" t="n">
        <v>13.04</v>
      </c>
      <c r="G267" s="0" t="n">
        <v>-15.9</v>
      </c>
      <c r="H267" s="0" t="n">
        <v>-15.2</v>
      </c>
      <c r="I267" s="0" t="n">
        <v>-14.2</v>
      </c>
      <c r="J267" s="0" t="n">
        <v>-13.9</v>
      </c>
      <c r="K267" s="0" t="n">
        <v>-13.5</v>
      </c>
      <c r="L267" s="0" t="n">
        <v>-13.3</v>
      </c>
      <c r="M267" s="0" t="n">
        <v>-13.3</v>
      </c>
      <c r="N267" s="0" t="n">
        <v>-13.3</v>
      </c>
      <c r="O267" s="0" t="n">
        <v>-12.7</v>
      </c>
      <c r="P267" s="0" t="n">
        <v>-12.3</v>
      </c>
      <c r="Q267" s="0" t="n">
        <v>-11.9</v>
      </c>
      <c r="R267" s="0" t="n">
        <v>-11.6</v>
      </c>
      <c r="S267" s="0" t="n">
        <v>1</v>
      </c>
      <c r="T267" s="0" t="n">
        <f aca="false">VALUE(VLOOKUP(B267,FgeoVlookup,2,FALSE()))</f>
        <v>1</v>
      </c>
      <c r="U267" s="111" t="s">
        <v>642</v>
      </c>
    </row>
    <row r="268" customFormat="false" ht="12.75" hidden="false" customHeight="false" outlineLevel="0" collapsed="false">
      <c r="B268" s="0" t="s">
        <v>495</v>
      </c>
      <c r="C268" s="0" t="s">
        <v>495</v>
      </c>
      <c r="D268" s="0" t="n">
        <v>102323</v>
      </c>
      <c r="E268" s="0" t="n">
        <v>57.42</v>
      </c>
      <c r="F268" s="0" t="n">
        <v>15.09</v>
      </c>
      <c r="G268" s="0" t="n">
        <v>-16</v>
      </c>
      <c r="H268" s="0" t="n">
        <v>-15.1</v>
      </c>
      <c r="I268" s="0" t="n">
        <v>-14.5</v>
      </c>
      <c r="J268" s="0" t="n">
        <v>-13.9</v>
      </c>
      <c r="K268" s="0" t="n">
        <v>-13.6</v>
      </c>
      <c r="L268" s="0" t="n">
        <v>-13.4</v>
      </c>
      <c r="M268" s="0" t="n">
        <v>-13.4</v>
      </c>
      <c r="N268" s="0" t="n">
        <v>-13.3</v>
      </c>
      <c r="O268" s="0" t="n">
        <v>-12.9</v>
      </c>
      <c r="P268" s="0" t="n">
        <v>-12.4</v>
      </c>
      <c r="Q268" s="0" t="n">
        <v>-12</v>
      </c>
      <c r="R268" s="0" t="n">
        <v>-11.7</v>
      </c>
      <c r="S268" s="0" t="n">
        <v>1</v>
      </c>
      <c r="T268" s="0" t="n">
        <f aca="false">VALUE(VLOOKUP(B268,FgeoVlookup,2,FALSE()))</f>
        <v>1</v>
      </c>
      <c r="U268" s="111" t="s">
        <v>495</v>
      </c>
    </row>
    <row r="269" customFormat="false" ht="12.75" hidden="false" customHeight="false" outlineLevel="0" collapsed="false">
      <c r="B269" s="0" t="s">
        <v>547</v>
      </c>
      <c r="C269" s="0" t="s">
        <v>547</v>
      </c>
      <c r="D269" s="0" t="n">
        <v>102902</v>
      </c>
      <c r="E269" s="0" t="n">
        <v>64.63</v>
      </c>
      <c r="F269" s="0" t="n">
        <v>16.66</v>
      </c>
      <c r="G269" s="0" t="n">
        <v>-29.8</v>
      </c>
      <c r="H269" s="0" t="n">
        <v>-29</v>
      </c>
      <c r="I269" s="0" t="n">
        <v>-27.5</v>
      </c>
      <c r="J269" s="0" t="n">
        <v>-26.8</v>
      </c>
      <c r="K269" s="0" t="n">
        <v>-26.1</v>
      </c>
      <c r="L269" s="0" t="n">
        <v>-25.8</v>
      </c>
      <c r="M269" s="0" t="n">
        <v>-25.6</v>
      </c>
      <c r="N269" s="0" t="n">
        <v>-25.2</v>
      </c>
      <c r="O269" s="0" t="n">
        <v>-24.8</v>
      </c>
      <c r="P269" s="0" t="n">
        <v>-24.8</v>
      </c>
      <c r="Q269" s="0" t="n">
        <v>-24.8</v>
      </c>
      <c r="R269" s="0" t="n">
        <v>-24.5</v>
      </c>
      <c r="S269" s="0" t="n">
        <v>1.6</v>
      </c>
      <c r="T269" s="0" t="n">
        <f aca="false">VALUE(VLOOKUP(B269,FgeoVlookup,2,FALSE()))</f>
        <v>1.6</v>
      </c>
      <c r="U269" s="111" t="s">
        <v>547</v>
      </c>
    </row>
    <row r="270" customFormat="false" ht="12.75" hidden="false" customHeight="false" outlineLevel="0" collapsed="false">
      <c r="B270" s="0" t="s">
        <v>532</v>
      </c>
      <c r="C270" s="0" t="s">
        <v>532</v>
      </c>
      <c r="D270" s="0" t="n">
        <v>102327</v>
      </c>
      <c r="E270" s="0" t="n">
        <v>57.67</v>
      </c>
      <c r="F270" s="0" t="n">
        <v>15.86</v>
      </c>
      <c r="G270" s="0" t="n">
        <v>-16.3</v>
      </c>
      <c r="H270" s="0" t="n">
        <v>-15.1</v>
      </c>
      <c r="I270" s="0" t="n">
        <v>-14.4</v>
      </c>
      <c r="J270" s="0" t="n">
        <v>-13.6</v>
      </c>
      <c r="K270" s="0" t="n">
        <v>-13.1</v>
      </c>
      <c r="L270" s="0" t="n">
        <v>-13.1</v>
      </c>
      <c r="M270" s="0" t="n">
        <v>-13.1</v>
      </c>
      <c r="N270" s="0" t="n">
        <v>-12.9</v>
      </c>
      <c r="O270" s="0" t="n">
        <v>-12.6</v>
      </c>
      <c r="P270" s="0" t="n">
        <v>-12.2</v>
      </c>
      <c r="Q270" s="0" t="n">
        <v>-11.9</v>
      </c>
      <c r="R270" s="0" t="n">
        <v>-11.5</v>
      </c>
      <c r="S270" s="0" t="n">
        <v>1</v>
      </c>
      <c r="T270" s="0" t="n">
        <f aca="false">VALUE(VLOOKUP(B270,FgeoVlookup,2,FALSE()))</f>
        <v>1</v>
      </c>
      <c r="U270" s="111" t="s">
        <v>532</v>
      </c>
    </row>
    <row r="271" customFormat="false" ht="12.75" hidden="false" customHeight="false" outlineLevel="0" collapsed="false">
      <c r="B271" s="0" t="s">
        <v>501</v>
      </c>
      <c r="C271" s="0" t="s">
        <v>501</v>
      </c>
      <c r="D271" s="0" t="n">
        <v>102906</v>
      </c>
      <c r="E271" s="0" t="n">
        <v>64.2</v>
      </c>
      <c r="F271" s="0" t="n">
        <v>19.72</v>
      </c>
      <c r="G271" s="0" t="n">
        <v>-26</v>
      </c>
      <c r="H271" s="0" t="n">
        <v>-25.3</v>
      </c>
      <c r="I271" s="0" t="n">
        <v>-24.8</v>
      </c>
      <c r="J271" s="0" t="n">
        <v>-24.2</v>
      </c>
      <c r="K271" s="0" t="n">
        <v>-23.7</v>
      </c>
      <c r="L271" s="0" t="n">
        <v>-23.5</v>
      </c>
      <c r="M271" s="0" t="n">
        <v>-22.9</v>
      </c>
      <c r="N271" s="0" t="n">
        <v>-22.5</v>
      </c>
      <c r="O271" s="0" t="n">
        <v>-22.3</v>
      </c>
      <c r="P271" s="0" t="n">
        <v>-21.9</v>
      </c>
      <c r="Q271" s="0" t="n">
        <v>-21.7</v>
      </c>
      <c r="R271" s="0" t="n">
        <v>-21.5</v>
      </c>
      <c r="S271" s="0" t="n">
        <v>1.5</v>
      </c>
      <c r="T271" s="0" t="n">
        <f aca="false">VALUE(VLOOKUP(B271,FgeoVlookup,2,FALSE()))</f>
        <v>1.5</v>
      </c>
      <c r="U271" s="111" t="s">
        <v>501</v>
      </c>
    </row>
    <row r="272" customFormat="false" ht="12.75" hidden="false" customHeight="false" outlineLevel="0" collapsed="false">
      <c r="B272" s="0" t="s">
        <v>643</v>
      </c>
      <c r="C272" s="0" t="s">
        <v>643</v>
      </c>
      <c r="D272" s="0" t="n">
        <v>102246</v>
      </c>
      <c r="E272" s="0" t="n">
        <v>58.03</v>
      </c>
      <c r="F272" s="0" t="n">
        <v>12.8</v>
      </c>
      <c r="G272" s="0" t="n">
        <v>-15.6</v>
      </c>
      <c r="H272" s="0" t="n">
        <v>-15.2</v>
      </c>
      <c r="I272" s="0" t="n">
        <v>-14.2</v>
      </c>
      <c r="J272" s="0" t="n">
        <v>-14.1</v>
      </c>
      <c r="K272" s="0" t="n">
        <v>-13.8</v>
      </c>
      <c r="L272" s="0" t="n">
        <v>-13.4</v>
      </c>
      <c r="M272" s="0" t="n">
        <v>-13.4</v>
      </c>
      <c r="N272" s="0" t="n">
        <v>-13.2</v>
      </c>
      <c r="O272" s="0" t="n">
        <v>-12.8</v>
      </c>
      <c r="P272" s="0" t="n">
        <v>-12.3</v>
      </c>
      <c r="Q272" s="0" t="n">
        <v>-12</v>
      </c>
      <c r="R272" s="0" t="n">
        <v>-11.6</v>
      </c>
      <c r="S272" s="0" t="n">
        <v>1</v>
      </c>
      <c r="T272" s="0" t="n">
        <f aca="false">VALUE(VLOOKUP(B272,FgeoVlookup,2,FALSE()))</f>
        <v>1</v>
      </c>
      <c r="U272" s="111" t="s">
        <v>643</v>
      </c>
    </row>
    <row r="273" customFormat="false" ht="12.75" hidden="false" customHeight="false" outlineLevel="0" collapsed="false">
      <c r="B273" s="0" t="s">
        <v>644</v>
      </c>
      <c r="C273" s="0" t="s">
        <v>644</v>
      </c>
      <c r="D273" s="0" t="n">
        <v>102211</v>
      </c>
      <c r="E273" s="0" t="n">
        <v>58.37</v>
      </c>
      <c r="F273" s="0" t="n">
        <v>12.32</v>
      </c>
      <c r="G273" s="0" t="n">
        <v>-15.1</v>
      </c>
      <c r="H273" s="0" t="n">
        <v>-14.3</v>
      </c>
      <c r="I273" s="0" t="n">
        <v>-13.9</v>
      </c>
      <c r="J273" s="0" t="n">
        <v>-13.5</v>
      </c>
      <c r="K273" s="0" t="n">
        <v>-13.2</v>
      </c>
      <c r="L273" s="0" t="n">
        <v>-13.1</v>
      </c>
      <c r="M273" s="0" t="n">
        <v>-13</v>
      </c>
      <c r="N273" s="0" t="n">
        <v>-12.8</v>
      </c>
      <c r="O273" s="0" t="n">
        <v>-12.4</v>
      </c>
      <c r="P273" s="0" t="n">
        <v>-12.1</v>
      </c>
      <c r="Q273" s="0" t="n">
        <v>-11.6</v>
      </c>
      <c r="R273" s="0" t="n">
        <v>-11.4</v>
      </c>
      <c r="S273" s="0" t="n">
        <v>1</v>
      </c>
      <c r="T273" s="0" t="n">
        <f aca="false">VALUE(VLOOKUP(B273,FgeoVlookup,2,FALSE()))</f>
        <v>1</v>
      </c>
      <c r="U273" s="111" t="s">
        <v>644</v>
      </c>
    </row>
    <row r="274" customFormat="false" ht="12.75" hidden="false" customHeight="false" outlineLevel="0" collapsed="false">
      <c r="B274" s="0" t="s">
        <v>452</v>
      </c>
      <c r="C274" s="0" t="s">
        <v>452</v>
      </c>
      <c r="D274" s="0" t="n">
        <v>102904</v>
      </c>
      <c r="E274" s="0" t="n">
        <v>63.9</v>
      </c>
      <c r="F274" s="0" t="n">
        <v>19.75</v>
      </c>
      <c r="G274" s="0" t="n">
        <v>-24.3</v>
      </c>
      <c r="H274" s="0" t="n">
        <v>-23.8</v>
      </c>
      <c r="I274" s="0" t="n">
        <v>-22.7</v>
      </c>
      <c r="J274" s="0" t="n">
        <v>-22.2</v>
      </c>
      <c r="K274" s="0" t="n">
        <v>-22</v>
      </c>
      <c r="L274" s="0" t="n">
        <v>-21.6</v>
      </c>
      <c r="M274" s="0" t="n">
        <v>-21.1</v>
      </c>
      <c r="N274" s="0" t="n">
        <v>-21</v>
      </c>
      <c r="O274" s="0" t="n">
        <v>-20.8</v>
      </c>
      <c r="P274" s="0" t="n">
        <v>-20.4</v>
      </c>
      <c r="Q274" s="0" t="n">
        <v>-20</v>
      </c>
      <c r="R274" s="0" t="n">
        <v>-19.7</v>
      </c>
      <c r="S274" s="0" t="n">
        <v>1.4</v>
      </c>
      <c r="T274" s="0" t="n">
        <f aca="false">VALUE(VLOOKUP(B274,FgeoVlookup,2,FALSE()))</f>
        <v>1.4</v>
      </c>
      <c r="U274" s="111" t="s">
        <v>452</v>
      </c>
    </row>
    <row r="275" customFormat="false" ht="12.75" hidden="false" customHeight="false" outlineLevel="0" collapsed="false">
      <c r="B275" s="0" t="s">
        <v>508</v>
      </c>
      <c r="C275" s="0" t="s">
        <v>508</v>
      </c>
      <c r="D275" s="0" t="n">
        <v>102318</v>
      </c>
      <c r="E275" s="0" t="n">
        <v>57.19</v>
      </c>
      <c r="F275" s="0" t="n">
        <v>14.05</v>
      </c>
      <c r="G275" s="0" t="n">
        <v>-16.1</v>
      </c>
      <c r="H275" s="0" t="n">
        <v>-14.8</v>
      </c>
      <c r="I275" s="0" t="n">
        <v>-14.4</v>
      </c>
      <c r="J275" s="0" t="n">
        <v>-13.8</v>
      </c>
      <c r="K275" s="0" t="n">
        <v>-13.3</v>
      </c>
      <c r="L275" s="0" t="n">
        <v>-13.2</v>
      </c>
      <c r="M275" s="0" t="n">
        <v>-13.2</v>
      </c>
      <c r="N275" s="0" t="n">
        <v>-13.2</v>
      </c>
      <c r="O275" s="0" t="n">
        <v>-12.9</v>
      </c>
      <c r="P275" s="0" t="n">
        <v>-12.6</v>
      </c>
      <c r="Q275" s="0" t="n">
        <v>-12.1</v>
      </c>
      <c r="R275" s="0" t="n">
        <v>-11.9</v>
      </c>
      <c r="S275" s="0" t="n">
        <v>1</v>
      </c>
      <c r="T275" s="0" t="n">
        <f aca="false">VALUE(VLOOKUP(B275,FgeoVlookup,2,FALSE()))</f>
        <v>1</v>
      </c>
      <c r="U275" s="111" t="s">
        <v>508</v>
      </c>
    </row>
    <row r="276" customFormat="false" ht="12.75" hidden="false" customHeight="false" outlineLevel="0" collapsed="false">
      <c r="B276" s="0" t="s">
        <v>496</v>
      </c>
      <c r="C276" s="0" t="s">
        <v>496</v>
      </c>
      <c r="D276" s="0" t="n">
        <v>102329</v>
      </c>
      <c r="E276" s="0" t="n">
        <v>57.76</v>
      </c>
      <c r="F276" s="0" t="n">
        <v>16.64</v>
      </c>
      <c r="G276" s="0" t="n">
        <v>-13.8</v>
      </c>
      <c r="H276" s="0" t="n">
        <v>-12.9</v>
      </c>
      <c r="I276" s="0" t="n">
        <v>-12.4</v>
      </c>
      <c r="J276" s="0" t="n">
        <v>-11.8</v>
      </c>
      <c r="K276" s="0" t="n">
        <v>-11.7</v>
      </c>
      <c r="L276" s="0" t="n">
        <v>-11.6</v>
      </c>
      <c r="M276" s="0" t="n">
        <v>-11.6</v>
      </c>
      <c r="N276" s="0" t="n">
        <v>-11.2</v>
      </c>
      <c r="O276" s="0" t="n">
        <v>-11</v>
      </c>
      <c r="P276" s="0" t="n">
        <v>-10.5</v>
      </c>
      <c r="Q276" s="0" t="n">
        <v>-10.2</v>
      </c>
      <c r="R276" s="0" t="n">
        <v>-10.1</v>
      </c>
      <c r="S276" s="0" t="n">
        <v>0.9</v>
      </c>
      <c r="T276" s="0" t="n">
        <f aca="false">VALUE(VLOOKUP(B276,FgeoVlookup,2,FALSE()))</f>
        <v>0.9</v>
      </c>
      <c r="U276" s="111" t="s">
        <v>496</v>
      </c>
    </row>
    <row r="277" customFormat="false" ht="12.75" hidden="false" customHeight="false" outlineLevel="0" collapsed="false">
      <c r="B277" s="0" t="s">
        <v>454</v>
      </c>
      <c r="C277" s="0" t="s">
        <v>454</v>
      </c>
      <c r="D277" s="0" t="n">
        <v>102605</v>
      </c>
      <c r="E277" s="0" t="n">
        <v>59.61</v>
      </c>
      <c r="F277" s="0" t="n">
        <v>16.54</v>
      </c>
      <c r="G277" s="0" t="n">
        <v>-18.4</v>
      </c>
      <c r="H277" s="0" t="n">
        <v>-18</v>
      </c>
      <c r="I277" s="0" t="n">
        <v>-17.3</v>
      </c>
      <c r="J277" s="0" t="n">
        <v>-16.6</v>
      </c>
      <c r="K277" s="0" t="n">
        <v>-16.3</v>
      </c>
      <c r="L277" s="0" t="n">
        <v>-15.7</v>
      </c>
      <c r="M277" s="0" t="n">
        <v>-15.5</v>
      </c>
      <c r="N277" s="0" t="n">
        <v>-15.3</v>
      </c>
      <c r="O277" s="0" t="n">
        <v>-15</v>
      </c>
      <c r="P277" s="0" t="n">
        <v>-14.8</v>
      </c>
      <c r="Q277" s="0" t="n">
        <v>-14.6</v>
      </c>
      <c r="R277" s="0" t="n">
        <v>-14.5</v>
      </c>
      <c r="S277" s="0" t="n">
        <v>1</v>
      </c>
      <c r="T277" s="0" t="n">
        <f aca="false">VALUE(VLOOKUP(B277,FgeoVlookup,2,FALSE()))</f>
        <v>1</v>
      </c>
      <c r="U277" s="111" t="s">
        <v>454</v>
      </c>
    </row>
    <row r="278" customFormat="false" ht="12.75" hidden="false" customHeight="false" outlineLevel="0" collapsed="false">
      <c r="B278" s="0" t="s">
        <v>603</v>
      </c>
      <c r="C278" s="0" t="s">
        <v>603</v>
      </c>
      <c r="D278" s="0" t="n">
        <v>102102</v>
      </c>
      <c r="E278" s="0" t="n">
        <v>55.43</v>
      </c>
      <c r="F278" s="0" t="n">
        <v>13.82</v>
      </c>
      <c r="G278" s="0" t="n">
        <v>-10.8</v>
      </c>
      <c r="H278" s="0" t="n">
        <v>-10.1</v>
      </c>
      <c r="I278" s="0" t="n">
        <v>-9.6</v>
      </c>
      <c r="J278" s="0" t="n">
        <v>-9.4</v>
      </c>
      <c r="K278" s="0" t="n">
        <v>-9.1</v>
      </c>
      <c r="L278" s="0" t="n">
        <v>-8.7</v>
      </c>
      <c r="M278" s="0" t="n">
        <v>-8.7</v>
      </c>
      <c r="N278" s="0" t="n">
        <v>-8.4</v>
      </c>
      <c r="O278" s="0" t="n">
        <v>-8.3</v>
      </c>
      <c r="P278" s="0" t="n">
        <v>-8.1</v>
      </c>
      <c r="Q278" s="0" t="n">
        <v>-7.8</v>
      </c>
      <c r="R278" s="0" t="n">
        <v>-7.7</v>
      </c>
      <c r="S278" s="0" t="n">
        <v>0.9</v>
      </c>
      <c r="T278" s="0" t="n">
        <f aca="false">VALUE(VLOOKUP(B278,FgeoVlookup,2,FALSE()))</f>
        <v>0.9</v>
      </c>
      <c r="U278" s="111" t="s">
        <v>603</v>
      </c>
    </row>
    <row r="279" customFormat="false" ht="12.75" hidden="false" customHeight="false" outlineLevel="0" collapsed="false">
      <c r="B279" s="0" t="s">
        <v>645</v>
      </c>
      <c r="C279" s="0" t="s">
        <v>645</v>
      </c>
      <c r="D279" s="0" t="n">
        <v>102224</v>
      </c>
      <c r="E279" s="0" t="n">
        <v>59.05</v>
      </c>
      <c r="F279" s="0" t="n">
        <v>12.7</v>
      </c>
      <c r="G279" s="0" t="n">
        <v>-17.2</v>
      </c>
      <c r="H279" s="0" t="n">
        <v>-16.7</v>
      </c>
      <c r="I279" s="0" t="n">
        <v>-16.3</v>
      </c>
      <c r="J279" s="0" t="n">
        <v>-15.9</v>
      </c>
      <c r="K279" s="0" t="n">
        <v>-15.3</v>
      </c>
      <c r="L279" s="0" t="n">
        <v>-14.9</v>
      </c>
      <c r="M279" s="0" t="n">
        <v>-14.9</v>
      </c>
      <c r="N279" s="0" t="n">
        <v>-14.7</v>
      </c>
      <c r="O279" s="0" t="n">
        <v>-14.6</v>
      </c>
      <c r="P279" s="0" t="n">
        <v>-14.1</v>
      </c>
      <c r="Q279" s="0" t="n">
        <v>-13.8</v>
      </c>
      <c r="R279" s="0" t="n">
        <v>-13.6</v>
      </c>
      <c r="S279" s="0" t="n">
        <v>1</v>
      </c>
      <c r="T279" s="0" t="n">
        <f aca="false">VALUE(VLOOKUP(B279,FgeoVlookup,2,FALSE()))</f>
        <v>1</v>
      </c>
      <c r="U279" s="111" t="s">
        <v>645</v>
      </c>
    </row>
    <row r="280" customFormat="false" ht="12.75" hidden="false" customHeight="false" outlineLevel="0" collapsed="false">
      <c r="B280" s="0" t="s">
        <v>472</v>
      </c>
      <c r="C280" s="0" t="s">
        <v>472</v>
      </c>
      <c r="D280" s="0" t="n">
        <v>102804</v>
      </c>
      <c r="E280" s="0" t="n">
        <v>62.52</v>
      </c>
      <c r="F280" s="0" t="n">
        <v>15.66</v>
      </c>
      <c r="G280" s="0" t="n">
        <v>-26.6</v>
      </c>
      <c r="H280" s="0" t="n">
        <v>-26.1</v>
      </c>
      <c r="I280" s="0" t="n">
        <v>-25.4</v>
      </c>
      <c r="J280" s="0" t="n">
        <v>-24.3</v>
      </c>
      <c r="K280" s="0" t="n">
        <v>-23.5</v>
      </c>
      <c r="L280" s="0" t="n">
        <v>-22.4</v>
      </c>
      <c r="M280" s="0" t="n">
        <v>-21.9</v>
      </c>
      <c r="N280" s="0" t="n">
        <v>-21.6</v>
      </c>
      <c r="O280" s="0" t="n">
        <v>-21.2</v>
      </c>
      <c r="P280" s="0" t="n">
        <v>-20.8</v>
      </c>
      <c r="Q280" s="0" t="n">
        <v>-20.4</v>
      </c>
      <c r="R280" s="0" t="n">
        <v>-20.4</v>
      </c>
      <c r="S280" s="0" t="n">
        <v>1.4</v>
      </c>
      <c r="T280" s="0" t="n">
        <f aca="false">VALUE(VLOOKUP(B280,FgeoVlookup,2,FALSE()))</f>
        <v>1.4</v>
      </c>
      <c r="U280" s="111" t="s">
        <v>472</v>
      </c>
    </row>
    <row r="281" customFormat="false" ht="12.75" hidden="false" customHeight="false" outlineLevel="0" collapsed="false">
      <c r="B281" s="0" t="s">
        <v>479</v>
      </c>
      <c r="C281" s="0" t="s">
        <v>479</v>
      </c>
      <c r="D281" s="0" t="n">
        <v>102809</v>
      </c>
      <c r="E281" s="0" t="n">
        <v>63.41</v>
      </c>
      <c r="F281" s="0" t="n">
        <v>13.07</v>
      </c>
      <c r="G281" s="0" t="n">
        <v>-22.4</v>
      </c>
      <c r="H281" s="0" t="n">
        <v>-21.9</v>
      </c>
      <c r="I281" s="0" t="n">
        <v>-21.1</v>
      </c>
      <c r="J281" s="0" t="n">
        <v>-20.6</v>
      </c>
      <c r="K281" s="0" t="n">
        <v>-19.8</v>
      </c>
      <c r="L281" s="0" t="n">
        <v>-18.9</v>
      </c>
      <c r="M281" s="0" t="n">
        <v>-18.2</v>
      </c>
      <c r="N281" s="0" t="n">
        <v>-17.9</v>
      </c>
      <c r="O281" s="0" t="n">
        <v>-17.3</v>
      </c>
      <c r="P281" s="0" t="n">
        <v>-17.2</v>
      </c>
      <c r="Q281" s="0" t="n">
        <v>-16.8</v>
      </c>
      <c r="R281" s="0" t="n">
        <v>-16.6</v>
      </c>
      <c r="S281" s="0" t="n">
        <v>1.6</v>
      </c>
      <c r="T281" s="0" t="n">
        <f aca="false">VALUE(VLOOKUP(B281,FgeoVlookup,2,FALSE()))</f>
        <v>1.6</v>
      </c>
      <c r="U281" s="111" t="s">
        <v>479</v>
      </c>
    </row>
    <row r="282" customFormat="false" ht="12.75" hidden="false" customHeight="false" outlineLevel="0" collapsed="false">
      <c r="B282" s="0" t="s">
        <v>554</v>
      </c>
      <c r="C282" s="0" t="s">
        <v>554</v>
      </c>
      <c r="D282" s="0" t="n">
        <v>102501</v>
      </c>
      <c r="E282" s="0" t="n">
        <v>59.39</v>
      </c>
      <c r="F282" s="0" t="n">
        <v>12.14</v>
      </c>
      <c r="G282" s="0" t="n">
        <v>-19</v>
      </c>
      <c r="H282" s="0" t="n">
        <v>-18.9</v>
      </c>
      <c r="I282" s="0" t="n">
        <v>-18.4</v>
      </c>
      <c r="J282" s="0" t="n">
        <v>-17.6</v>
      </c>
      <c r="K282" s="0" t="n">
        <v>-17.2</v>
      </c>
      <c r="L282" s="0" t="n">
        <v>-16.9</v>
      </c>
      <c r="M282" s="0" t="n">
        <v>-16.9</v>
      </c>
      <c r="N282" s="0" t="n">
        <v>-16.6</v>
      </c>
      <c r="O282" s="0" t="n">
        <v>-16.3</v>
      </c>
      <c r="P282" s="0" t="n">
        <v>-16.1</v>
      </c>
      <c r="Q282" s="0" t="n">
        <v>-15.9</v>
      </c>
      <c r="R282" s="0" t="n">
        <v>-15.6</v>
      </c>
      <c r="S282" s="0" t="n">
        <v>1.1</v>
      </c>
      <c r="T282" s="0" t="n">
        <f aca="false">VALUE(VLOOKUP(B282,FgeoVlookup,2,FALSE()))</f>
        <v>1.1</v>
      </c>
      <c r="U282" s="111" t="s">
        <v>554</v>
      </c>
    </row>
    <row r="283" customFormat="false" ht="12.75" hidden="false" customHeight="false" outlineLevel="0" collapsed="false">
      <c r="A283" s="0" t="s">
        <v>686</v>
      </c>
      <c r="B283" s="224" t="s">
        <v>514</v>
      </c>
      <c r="C283" s="0" t="s">
        <v>686</v>
      </c>
      <c r="D283" s="0" t="n">
        <v>102903</v>
      </c>
      <c r="E283" s="0" t="n">
        <v>64.07</v>
      </c>
      <c r="F283" s="0" t="n">
        <v>18.37</v>
      </c>
      <c r="G283" s="0" t="n">
        <v>-28.1</v>
      </c>
      <c r="H283" s="0" t="n">
        <v>-26.8</v>
      </c>
      <c r="I283" s="0" t="n">
        <v>-26.3</v>
      </c>
      <c r="J283" s="0" t="n">
        <v>-25.2</v>
      </c>
      <c r="K283" s="0" t="n">
        <v>-24.5</v>
      </c>
      <c r="L283" s="0" t="n">
        <v>-24.2</v>
      </c>
      <c r="M283" s="0" t="n">
        <v>-23.9</v>
      </c>
      <c r="N283" s="0" t="n">
        <v>-23.5</v>
      </c>
      <c r="O283" s="0" t="n">
        <v>-23.3</v>
      </c>
      <c r="P283" s="0" t="n">
        <v>-23.2</v>
      </c>
      <c r="Q283" s="0" t="n">
        <v>-22.9</v>
      </c>
      <c r="R283" s="0" t="n">
        <v>-22.7</v>
      </c>
      <c r="S283" s="0" t="n">
        <v>1.5</v>
      </c>
      <c r="T283" s="0" t="n">
        <f aca="false">VALUE(VLOOKUP(B283,FgeoVlookup,2,FALSE()))</f>
        <v>1.5</v>
      </c>
      <c r="U283" s="111" t="s">
        <v>514</v>
      </c>
    </row>
    <row r="284" customFormat="false" ht="12.75" hidden="false" customHeight="false" outlineLevel="0" collapsed="false">
      <c r="B284" s="0" t="s">
        <v>606</v>
      </c>
      <c r="C284" s="0" t="s">
        <v>606</v>
      </c>
      <c r="D284" s="0" t="n">
        <v>102140</v>
      </c>
      <c r="E284" s="0" t="n">
        <v>56.13</v>
      </c>
      <c r="F284" s="0" t="n">
        <v>12.95</v>
      </c>
      <c r="G284" s="0" t="n">
        <v>-11.4</v>
      </c>
      <c r="H284" s="0" t="n">
        <v>-10.8</v>
      </c>
      <c r="I284" s="0" t="n">
        <v>-9.9</v>
      </c>
      <c r="J284" s="0" t="n">
        <v>-9.9</v>
      </c>
      <c r="K284" s="0" t="n">
        <v>-9.7</v>
      </c>
      <c r="L284" s="0" t="n">
        <v>-9.6</v>
      </c>
      <c r="M284" s="0" t="n">
        <v>-9.6</v>
      </c>
      <c r="N284" s="0" t="n">
        <v>-9.1</v>
      </c>
      <c r="O284" s="0" t="n">
        <v>-9.1</v>
      </c>
      <c r="P284" s="0" t="n">
        <v>-8.9</v>
      </c>
      <c r="Q284" s="0" t="n">
        <v>-8.5</v>
      </c>
      <c r="R284" s="0" t="n">
        <v>-8.4</v>
      </c>
      <c r="S284" s="0" t="n">
        <v>0.9</v>
      </c>
      <c r="T284" s="0" t="n">
        <f aca="false">VALUE(VLOOKUP(B284,FgeoVlookup,2,FALSE()))</f>
        <v>0.9</v>
      </c>
      <c r="U284" s="111" t="s">
        <v>606</v>
      </c>
    </row>
    <row r="285" customFormat="false" ht="12.75" hidden="false" customHeight="false" outlineLevel="0" collapsed="false">
      <c r="B285" s="0" t="s">
        <v>563</v>
      </c>
      <c r="C285" s="0" t="s">
        <v>563</v>
      </c>
      <c r="D285" s="0" t="n">
        <v>102715</v>
      </c>
      <c r="E285" s="0" t="n">
        <v>61.22</v>
      </c>
      <c r="F285" s="0" t="n">
        <v>14.05</v>
      </c>
      <c r="G285" s="0" t="n">
        <v>-25.7</v>
      </c>
      <c r="H285" s="0" t="n">
        <v>-24.7</v>
      </c>
      <c r="I285" s="0" t="n">
        <v>-23.7</v>
      </c>
      <c r="J285" s="0" t="n">
        <v>-23</v>
      </c>
      <c r="K285" s="0" t="n">
        <v>-22.7</v>
      </c>
      <c r="L285" s="0" t="n">
        <v>-21.9</v>
      </c>
      <c r="M285" s="0" t="n">
        <v>-21.7</v>
      </c>
      <c r="N285" s="0" t="n">
        <v>-21.6</v>
      </c>
      <c r="O285" s="0" t="n">
        <v>-21.4</v>
      </c>
      <c r="P285" s="0" t="n">
        <v>-20.8</v>
      </c>
      <c r="Q285" s="0" t="n">
        <v>-20.7</v>
      </c>
      <c r="R285" s="0" t="n">
        <v>-20.4</v>
      </c>
      <c r="S285" s="0" t="n">
        <v>1.3</v>
      </c>
      <c r="T285" s="0" t="n">
        <f aca="false">VALUE(VLOOKUP(B285,FgeoVlookup,2,FALSE()))</f>
        <v>1.3</v>
      </c>
      <c r="U285" s="316" t="s">
        <v>563</v>
      </c>
    </row>
    <row r="286" customFormat="false" ht="12.75" hidden="false" customHeight="false" outlineLevel="0" collapsed="false">
      <c r="B286" s="0" t="s">
        <v>446</v>
      </c>
      <c r="C286" s="0" t="s">
        <v>446</v>
      </c>
      <c r="D286" s="0" t="n">
        <v>102003</v>
      </c>
      <c r="E286" s="0" t="n">
        <v>65.68</v>
      </c>
      <c r="F286" s="0" t="n">
        <v>21.01</v>
      </c>
      <c r="G286" s="0" t="n">
        <v>-30</v>
      </c>
      <c r="H286" s="0" t="n">
        <v>-29.2</v>
      </c>
      <c r="I286" s="0" t="n">
        <v>-28.3</v>
      </c>
      <c r="J286" s="0" t="n">
        <v>-27.1</v>
      </c>
      <c r="K286" s="0" t="n">
        <v>-26.7</v>
      </c>
      <c r="L286" s="0" t="n">
        <v>-26.3</v>
      </c>
      <c r="M286" s="0" t="n">
        <v>-25.8</v>
      </c>
      <c r="N286" s="0" t="n">
        <v>-25.3</v>
      </c>
      <c r="O286" s="0" t="n">
        <v>-24.8</v>
      </c>
      <c r="P286" s="0" t="n">
        <v>-24.7</v>
      </c>
      <c r="Q286" s="0" t="n">
        <v>-24.4</v>
      </c>
      <c r="R286" s="0" t="n">
        <v>-24.1</v>
      </c>
      <c r="S286" s="0" t="n">
        <v>1.5</v>
      </c>
      <c r="T286" s="0" t="n">
        <f aca="false">VALUE(VLOOKUP(B286,FgeoVlookup,2,FALSE()))</f>
        <v>1.5</v>
      </c>
      <c r="U286" s="111" t="s">
        <v>446</v>
      </c>
    </row>
    <row r="287" customFormat="false" ht="12.75" hidden="false" customHeight="false" outlineLevel="0" collapsed="false">
      <c r="B287" s="0" t="s">
        <v>608</v>
      </c>
      <c r="C287" s="0" t="s">
        <v>608</v>
      </c>
      <c r="D287" s="0" t="n">
        <v>102111</v>
      </c>
      <c r="E287" s="0" t="n">
        <v>56.25</v>
      </c>
      <c r="F287" s="0" t="n">
        <v>12.87</v>
      </c>
      <c r="G287" s="0" t="n">
        <v>-11.1</v>
      </c>
      <c r="H287" s="0" t="n">
        <v>-10.7</v>
      </c>
      <c r="I287" s="0" t="n">
        <v>-9.8</v>
      </c>
      <c r="J287" s="0" t="n">
        <v>-9.8</v>
      </c>
      <c r="K287" s="0" t="n">
        <v>-9.6</v>
      </c>
      <c r="L287" s="0" t="n">
        <v>-9.6</v>
      </c>
      <c r="M287" s="0" t="n">
        <v>-9.6</v>
      </c>
      <c r="N287" s="0" t="n">
        <v>-9.2</v>
      </c>
      <c r="O287" s="0" t="n">
        <v>-9.2</v>
      </c>
      <c r="P287" s="0" t="n">
        <v>-8.8</v>
      </c>
      <c r="Q287" s="0" t="n">
        <v>-8.5</v>
      </c>
      <c r="R287" s="0" t="n">
        <v>-8.3</v>
      </c>
      <c r="S287" s="0" t="n">
        <v>0.9</v>
      </c>
      <c r="T287" s="0" t="n">
        <f aca="false">VALUE(VLOOKUP(B287,FgeoVlookup,2,FALSE()))</f>
        <v>0.9</v>
      </c>
      <c r="U287" s="111" t="s">
        <v>608</v>
      </c>
    </row>
    <row r="288" customFormat="false" ht="12.75" hidden="false" customHeight="false" outlineLevel="0" collapsed="false">
      <c r="B288" s="0" t="s">
        <v>562</v>
      </c>
      <c r="C288" s="0" t="s">
        <v>562</v>
      </c>
      <c r="D288" s="0" t="n">
        <v>102236</v>
      </c>
      <c r="E288" s="0" t="n">
        <v>57.71</v>
      </c>
      <c r="F288" s="0" t="n">
        <v>11.65</v>
      </c>
      <c r="G288" s="0" t="n">
        <v>-11.5</v>
      </c>
      <c r="H288" s="0" t="n">
        <v>-10.9</v>
      </c>
      <c r="I288" s="0" t="n">
        <v>-10.3</v>
      </c>
      <c r="J288" s="0" t="n">
        <v>-10.2</v>
      </c>
      <c r="K288" s="0" t="n">
        <v>-9.7</v>
      </c>
      <c r="L288" s="0" t="n">
        <v>-9.7</v>
      </c>
      <c r="M288" s="0" t="n">
        <v>-9.4</v>
      </c>
      <c r="N288" s="0" t="n">
        <v>-9.4</v>
      </c>
      <c r="O288" s="0" t="n">
        <v>-9.4</v>
      </c>
      <c r="P288" s="0" t="n">
        <v>-9</v>
      </c>
      <c r="Q288" s="0" t="n">
        <v>-8.8</v>
      </c>
      <c r="R288" s="0" t="n">
        <v>-8.5</v>
      </c>
      <c r="S288" s="0" t="n">
        <v>0.9</v>
      </c>
      <c r="T288" s="0" t="n">
        <f aca="false">VALUE(VLOOKUP(B288,FgeoVlookup,2,FALSE()))</f>
        <v>0.9</v>
      </c>
      <c r="U288" s="111" t="s">
        <v>562</v>
      </c>
    </row>
    <row r="289" customFormat="false" ht="12.75" hidden="false" customHeight="false" outlineLevel="0" collapsed="false">
      <c r="B289" s="0" t="s">
        <v>339</v>
      </c>
      <c r="C289" s="0" t="s">
        <v>339</v>
      </c>
      <c r="D289" s="0" t="n">
        <v>102514</v>
      </c>
      <c r="E289" s="0" t="n">
        <v>59.27</v>
      </c>
      <c r="F289" s="0" t="n">
        <v>15.21</v>
      </c>
      <c r="G289" s="0" t="n">
        <v>-18.1</v>
      </c>
      <c r="H289" s="0" t="n">
        <v>-17.3</v>
      </c>
      <c r="I289" s="0" t="n">
        <v>-16.4</v>
      </c>
      <c r="J289" s="0" t="n">
        <v>-15.8</v>
      </c>
      <c r="K289" s="0" t="n">
        <v>-15.2</v>
      </c>
      <c r="L289" s="0" t="n">
        <v>-15.2</v>
      </c>
      <c r="M289" s="0" t="n">
        <v>-15</v>
      </c>
      <c r="N289" s="0" t="n">
        <v>-14.8</v>
      </c>
      <c r="O289" s="0" t="n">
        <v>-14.2</v>
      </c>
      <c r="P289" s="0" t="n">
        <v>-13.9</v>
      </c>
      <c r="Q289" s="0" t="n">
        <v>-13.5</v>
      </c>
      <c r="R289" s="0" t="n">
        <v>-13.4</v>
      </c>
      <c r="S289" s="0" t="n">
        <v>1</v>
      </c>
      <c r="T289" s="0" t="n">
        <f aca="false">VALUE(VLOOKUP(B289,FgeoVlookup,2,FALSE()))</f>
        <v>1</v>
      </c>
      <c r="U289" s="111" t="s">
        <v>339</v>
      </c>
    </row>
    <row r="290" customFormat="false" ht="12.75" hidden="false" customHeight="false" outlineLevel="0" collapsed="false">
      <c r="B290" s="0" t="s">
        <v>614</v>
      </c>
      <c r="C290" s="0" t="s">
        <v>614</v>
      </c>
      <c r="D290" s="0" t="n">
        <v>102131</v>
      </c>
      <c r="E290" s="0" t="n">
        <v>56.28</v>
      </c>
      <c r="F290" s="0" t="n">
        <v>13.28</v>
      </c>
      <c r="G290" s="0" t="n">
        <v>-13.5</v>
      </c>
      <c r="H290" s="0" t="n">
        <v>-12.6</v>
      </c>
      <c r="I290" s="0" t="n">
        <v>-11.7</v>
      </c>
      <c r="J290" s="0" t="n">
        <v>-11.7</v>
      </c>
      <c r="K290" s="0" t="n">
        <v>-11.4</v>
      </c>
      <c r="L290" s="0" t="n">
        <v>-11.4</v>
      </c>
      <c r="M290" s="0" t="n">
        <v>-11.4</v>
      </c>
      <c r="N290" s="0" t="n">
        <v>-11</v>
      </c>
      <c r="O290" s="0" t="n">
        <v>-10.9</v>
      </c>
      <c r="P290" s="0" t="n">
        <v>-10.7</v>
      </c>
      <c r="Q290" s="0" t="n">
        <v>-10.5</v>
      </c>
      <c r="R290" s="0" t="n">
        <v>-10.3</v>
      </c>
      <c r="S290" s="0" t="n">
        <v>1</v>
      </c>
      <c r="T290" s="0" t="n">
        <f aca="false">VALUE(VLOOKUP(B290,FgeoVlookup,2,FALSE()))</f>
        <v>1</v>
      </c>
      <c r="U290" s="111" t="s">
        <v>614</v>
      </c>
    </row>
    <row r="291" customFormat="false" ht="12.75" hidden="false" customHeight="false" outlineLevel="0" collapsed="false">
      <c r="B291" s="0" t="s">
        <v>435</v>
      </c>
      <c r="C291" s="0" t="s">
        <v>435</v>
      </c>
      <c r="D291" s="0" t="n">
        <v>102816</v>
      </c>
      <c r="E291" s="0" t="n">
        <v>63.28</v>
      </c>
      <c r="F291" s="0" t="n">
        <v>18.69</v>
      </c>
      <c r="G291" s="0" t="n">
        <v>-23</v>
      </c>
      <c r="H291" s="0" t="n">
        <v>-22.4</v>
      </c>
      <c r="I291" s="0" t="n">
        <v>-21.2</v>
      </c>
      <c r="J291" s="0" t="n">
        <v>-20.5</v>
      </c>
      <c r="K291" s="0" t="n">
        <v>-19.9</v>
      </c>
      <c r="L291" s="0" t="n">
        <v>-19.7</v>
      </c>
      <c r="M291" s="0" t="n">
        <v>-19.2</v>
      </c>
      <c r="N291" s="0" t="n">
        <v>-19</v>
      </c>
      <c r="O291" s="0" t="n">
        <v>-18.7</v>
      </c>
      <c r="P291" s="0" t="n">
        <v>-18.4</v>
      </c>
      <c r="Q291" s="0" t="n">
        <v>-17.9</v>
      </c>
      <c r="R291" s="0" t="n">
        <v>-17.8</v>
      </c>
      <c r="S291" s="0" t="n">
        <v>1.3</v>
      </c>
      <c r="T291" s="0" t="n">
        <f aca="false">VALUE(VLOOKUP(B291,FgeoVlookup,2,FALSE()))</f>
        <v>1.3</v>
      </c>
      <c r="U291" s="111" t="s">
        <v>435</v>
      </c>
    </row>
    <row r="292" customFormat="false" ht="12.75" hidden="false" customHeight="false" outlineLevel="0" collapsed="false">
      <c r="B292" s="0" t="s">
        <v>406</v>
      </c>
      <c r="C292" s="0" t="s">
        <v>406</v>
      </c>
      <c r="D292" s="0" t="n">
        <v>102810</v>
      </c>
      <c r="E292" s="0" t="n">
        <v>63.18</v>
      </c>
      <c r="F292" s="0" t="n">
        <v>14.63</v>
      </c>
      <c r="G292" s="0" t="n">
        <v>-24.6</v>
      </c>
      <c r="H292" s="0" t="n">
        <v>-23.8</v>
      </c>
      <c r="I292" s="0" t="n">
        <v>-22.9</v>
      </c>
      <c r="J292" s="0" t="n">
        <v>-22.2</v>
      </c>
      <c r="K292" s="0" t="n">
        <v>-21.1</v>
      </c>
      <c r="L292" s="0" t="n">
        <v>-20.5</v>
      </c>
      <c r="M292" s="0" t="n">
        <v>-19.7</v>
      </c>
      <c r="N292" s="0" t="n">
        <v>-19.4</v>
      </c>
      <c r="O292" s="0" t="n">
        <v>-18.5</v>
      </c>
      <c r="P292" s="0" t="n">
        <v>-18.3</v>
      </c>
      <c r="Q292" s="0" t="n">
        <v>-18</v>
      </c>
      <c r="R292" s="0" t="n">
        <v>-17.8</v>
      </c>
      <c r="S292" s="0" t="n">
        <v>1.4</v>
      </c>
      <c r="T292" s="0" t="n">
        <f aca="false">VALUE(VLOOKUP(B292,FgeoVlookup,2,FALSE()))</f>
        <v>1.4</v>
      </c>
      <c r="U292" s="111" t="s">
        <v>406</v>
      </c>
    </row>
    <row r="293" customFormat="false" ht="12.75" hidden="false" customHeight="false" outlineLevel="0" collapsed="false">
      <c r="B293" s="0" t="s">
        <v>486</v>
      </c>
      <c r="C293" s="0" t="s">
        <v>486</v>
      </c>
      <c r="D293" s="0" t="n">
        <v>102620</v>
      </c>
      <c r="E293" s="0" t="n">
        <v>60.26</v>
      </c>
      <c r="F293" s="0" t="n">
        <v>18.37</v>
      </c>
      <c r="G293" s="0" t="n">
        <v>-16.5</v>
      </c>
      <c r="H293" s="0" t="n">
        <v>-15.9</v>
      </c>
      <c r="I293" s="0" t="n">
        <v>-15.2</v>
      </c>
      <c r="J293" s="0" t="n">
        <v>-14.4</v>
      </c>
      <c r="K293" s="0" t="n">
        <v>-14.2</v>
      </c>
      <c r="L293" s="0" t="n">
        <v>-13.9</v>
      </c>
      <c r="M293" s="0" t="n">
        <v>-13.7</v>
      </c>
      <c r="N293" s="0" t="n">
        <v>-13.6</v>
      </c>
      <c r="O293" s="0" t="n">
        <v>-13.3</v>
      </c>
      <c r="P293" s="0" t="n">
        <v>-13.1</v>
      </c>
      <c r="Q293" s="0" t="n">
        <v>-13.1</v>
      </c>
      <c r="R293" s="0" t="n">
        <v>-13</v>
      </c>
      <c r="S293" s="0" t="n">
        <v>1.1</v>
      </c>
      <c r="T293" s="0" t="n">
        <f aca="false">VALUE(VLOOKUP(B293,FgeoVlookup,2,FALSE()))</f>
        <v>1.1</v>
      </c>
      <c r="U293" s="111" t="s">
        <v>486</v>
      </c>
    </row>
    <row r="294" customFormat="false" ht="12.75" hidden="false" customHeight="false" outlineLevel="0" collapsed="false">
      <c r="B294" s="0" t="s">
        <v>482</v>
      </c>
      <c r="C294" s="0" t="s">
        <v>482</v>
      </c>
      <c r="D294" s="0" t="n">
        <v>102009</v>
      </c>
      <c r="E294" s="0" t="n">
        <v>66.32</v>
      </c>
      <c r="F294" s="0" t="n">
        <v>22.85</v>
      </c>
      <c r="G294" s="0" t="n">
        <v>-29.5</v>
      </c>
      <c r="H294" s="0" t="n">
        <v>-28.6</v>
      </c>
      <c r="I294" s="0" t="n">
        <v>-27.8</v>
      </c>
      <c r="J294" s="0" t="n">
        <v>-26.7</v>
      </c>
      <c r="K294" s="0" t="n">
        <v>-26.1</v>
      </c>
      <c r="L294" s="0" t="n">
        <v>-25.7</v>
      </c>
      <c r="M294" s="0" t="n">
        <v>-25.3</v>
      </c>
      <c r="N294" s="0" t="n">
        <v>-25.1</v>
      </c>
      <c r="O294" s="0" t="n">
        <v>-24.8</v>
      </c>
      <c r="P294" s="0" t="n">
        <v>-24.6</v>
      </c>
      <c r="Q294" s="0" t="n">
        <v>-24.5</v>
      </c>
      <c r="R294" s="0" t="n">
        <v>-24.3</v>
      </c>
      <c r="S294" s="0" t="n">
        <v>1.6</v>
      </c>
      <c r="T294" s="0" t="n">
        <f aca="false">VALUE(VLOOKUP(B294,FgeoVlookup,2,FALSE()))</f>
        <v>1.6</v>
      </c>
      <c r="U294" s="111" t="s">
        <v>482</v>
      </c>
    </row>
    <row r="295" customFormat="false" ht="12.75" hidden="false" customHeight="false" outlineLevel="0" collapsed="false">
      <c r="B295" s="0" t="s">
        <v>497</v>
      </c>
      <c r="C295" s="0" t="s">
        <v>497</v>
      </c>
      <c r="D295" s="0" t="n">
        <v>102024</v>
      </c>
      <c r="E295" s="0" t="n">
        <v>66.38</v>
      </c>
      <c r="F295" s="0" t="n">
        <v>23.67</v>
      </c>
      <c r="G295" s="0" t="n">
        <v>-29.2</v>
      </c>
      <c r="H295" s="0" t="n">
        <v>-28.6</v>
      </c>
      <c r="I295" s="0" t="n">
        <v>-27.8</v>
      </c>
      <c r="J295" s="0" t="n">
        <v>-26.9</v>
      </c>
      <c r="K295" s="0" t="n">
        <v>-25.9</v>
      </c>
      <c r="L295" s="0" t="n">
        <v>-25.7</v>
      </c>
      <c r="M295" s="0" t="n">
        <v>-25.2</v>
      </c>
      <c r="N295" s="0" t="n">
        <v>-24.9</v>
      </c>
      <c r="O295" s="0" t="n">
        <v>-24.6</v>
      </c>
      <c r="P295" s="0" t="n">
        <v>-24.4</v>
      </c>
      <c r="Q295" s="0" t="n">
        <v>-24.4</v>
      </c>
      <c r="R295" s="0" t="n">
        <v>-24.2</v>
      </c>
      <c r="S295" s="0" t="n">
        <v>1.6</v>
      </c>
      <c r="T295" s="0" t="n">
        <f aca="false">VALUE(VLOOKUP(B295,FgeoVlookup,2,FALSE()))</f>
        <v>1.6</v>
      </c>
      <c r="U295" s="111" t="s">
        <v>497</v>
      </c>
    </row>
    <row r="297" customFormat="false" ht="12.75" hidden="false" customHeight="false" outlineLevel="0" collapsed="false">
      <c r="C297" s="0" t="s">
        <v>687</v>
      </c>
    </row>
    <row r="298" customFormat="false" ht="12.75" hidden="false" customHeight="false" outlineLevel="0" collapsed="false">
      <c r="C298" s="330" t="s">
        <v>688</v>
      </c>
      <c r="D298" s="0" t="n">
        <v>102631</v>
      </c>
      <c r="E298" s="0" t="n">
        <v>60.24</v>
      </c>
      <c r="F298" s="0" t="n">
        <v>17.91</v>
      </c>
      <c r="G298" s="0" t="n">
        <v>-17.9</v>
      </c>
      <c r="H298" s="0" t="n">
        <v>-17.1</v>
      </c>
      <c r="I298" s="0" t="n">
        <v>-16.4</v>
      </c>
      <c r="J298" s="0" t="n">
        <v>-15.8</v>
      </c>
      <c r="K298" s="0" t="n">
        <v>-15.4</v>
      </c>
      <c r="L298" s="0" t="n">
        <v>-15.1</v>
      </c>
      <c r="M298" s="0" t="n">
        <v>-14.9</v>
      </c>
      <c r="N298" s="0" t="n">
        <v>-14.8</v>
      </c>
      <c r="O298" s="0" t="n">
        <v>-14.7</v>
      </c>
      <c r="P298" s="0" t="n">
        <v>-14.6</v>
      </c>
      <c r="Q298" s="0" t="n">
        <v>-14.2</v>
      </c>
      <c r="R298" s="0" t="n">
        <v>-14.1</v>
      </c>
      <c r="T298" s="0" t="e">
        <f aca="false">VALUE(VLOOKUP(C298,FgeoVlookup,2,FALSE()))</f>
        <v>#N/A</v>
      </c>
      <c r="U298" s="111"/>
      <c r="V298" s="0" t="s">
        <v>685</v>
      </c>
    </row>
    <row r="299" customFormat="false" ht="12.75" hidden="false" customHeight="false" outlineLevel="0" collapsed="false">
      <c r="C299" s="330" t="s">
        <v>689</v>
      </c>
      <c r="D299" s="0" t="n">
        <v>102522</v>
      </c>
      <c r="E299" s="0" t="n">
        <v>60.35</v>
      </c>
      <c r="F299" s="0" t="n">
        <v>12.65</v>
      </c>
      <c r="G299" s="0" t="n">
        <v>-23.8</v>
      </c>
      <c r="H299" s="0" t="n">
        <v>-23.2</v>
      </c>
      <c r="I299" s="0" t="n">
        <v>-22.3</v>
      </c>
      <c r="J299" s="0" t="n">
        <v>-21.6</v>
      </c>
      <c r="K299" s="0" t="n">
        <v>-21.1</v>
      </c>
      <c r="L299" s="0" t="n">
        <v>-20.6</v>
      </c>
      <c r="M299" s="0" t="n">
        <v>-20.2</v>
      </c>
      <c r="N299" s="0" t="n">
        <v>-20.1</v>
      </c>
      <c r="O299" s="0" t="n">
        <v>-19.8</v>
      </c>
      <c r="P299" s="0" t="n">
        <v>-19.8</v>
      </c>
      <c r="Q299" s="0" t="n">
        <v>-19.2</v>
      </c>
      <c r="R299" s="0" t="n">
        <v>-19.1</v>
      </c>
      <c r="T299" s="0" t="e">
        <f aca="false">VALUE(VLOOKUP(C299,FgeoVlookup,2,FALSE()))</f>
        <v>#N/A</v>
      </c>
      <c r="V299" s="0" t="s">
        <v>690</v>
      </c>
    </row>
    <row r="300" customFormat="false" ht="12.75" hidden="false" customHeight="false" outlineLevel="0" collapsed="false">
      <c r="C300" s="330" t="s">
        <v>691</v>
      </c>
      <c r="D300" s="0" t="n">
        <v>102618</v>
      </c>
      <c r="E300" s="0" t="n">
        <v>60.16</v>
      </c>
      <c r="F300" s="0" t="n">
        <v>16.92</v>
      </c>
      <c r="G300" s="0" t="n">
        <v>-19.1</v>
      </c>
      <c r="H300" s="0" t="n">
        <v>-18.9</v>
      </c>
      <c r="I300" s="0" t="n">
        <v>-17.8</v>
      </c>
      <c r="J300" s="0" t="n">
        <v>-17.1</v>
      </c>
      <c r="K300" s="0" t="n">
        <v>-17</v>
      </c>
      <c r="L300" s="0" t="n">
        <v>-16.4</v>
      </c>
      <c r="M300" s="0" t="n">
        <v>-16.1</v>
      </c>
      <c r="N300" s="0" t="n">
        <v>-16.1</v>
      </c>
      <c r="O300" s="0" t="n">
        <v>-16.1</v>
      </c>
      <c r="P300" s="0" t="n">
        <v>-16.1</v>
      </c>
      <c r="Q300" s="0" t="n">
        <v>-15.9</v>
      </c>
      <c r="R300" s="0" t="n">
        <v>-15.5</v>
      </c>
      <c r="T300" s="0" t="e">
        <f aca="false">VALUE(VLOOKUP(C300,FgeoVlookup,2,FALSE()))</f>
        <v>#N/A</v>
      </c>
      <c r="U300" s="111"/>
      <c r="V300" s="0" t="s">
        <v>692</v>
      </c>
    </row>
    <row r="301" customFormat="false" ht="12.75" hidden="false" customHeight="false" outlineLevel="0" collapsed="false">
      <c r="C301" s="330" t="s">
        <v>693</v>
      </c>
      <c r="D301" s="0" t="n">
        <v>102713</v>
      </c>
      <c r="E301" s="0" t="n">
        <v>61.71</v>
      </c>
      <c r="F301" s="0" t="n">
        <v>13.13</v>
      </c>
      <c r="G301" s="0" t="n">
        <v>-27.6</v>
      </c>
      <c r="H301" s="0" t="n">
        <v>-27.1</v>
      </c>
      <c r="I301" s="0" t="n">
        <v>-26.2</v>
      </c>
      <c r="J301" s="0" t="n">
        <v>-25.5</v>
      </c>
      <c r="K301" s="0" t="n">
        <v>-24.8</v>
      </c>
      <c r="L301" s="0" t="n">
        <v>-24.1</v>
      </c>
      <c r="M301" s="0" t="n">
        <v>-23.5</v>
      </c>
      <c r="N301" s="0" t="n">
        <v>-23.2</v>
      </c>
      <c r="O301" s="0" t="n">
        <v>-22.9</v>
      </c>
      <c r="P301" s="0" t="n">
        <v>-22.7</v>
      </c>
      <c r="Q301" s="0" t="n">
        <v>-22.4</v>
      </c>
      <c r="R301" s="0" t="n">
        <v>-22.4</v>
      </c>
      <c r="T301" s="0" t="e">
        <f aca="false">VALUE(VLOOKUP(C301,FgeoVlookup,2,FALSE()))</f>
        <v>#N/A</v>
      </c>
      <c r="U301" s="111"/>
      <c r="V301" s="0" t="s">
        <v>694</v>
      </c>
    </row>
    <row r="302" customFormat="false" ht="12.75" hidden="false" customHeight="false" outlineLevel="0" collapsed="false">
      <c r="C302" s="330" t="s">
        <v>695</v>
      </c>
      <c r="D302" s="0" t="n">
        <v>102518</v>
      </c>
      <c r="E302" s="0" t="n">
        <v>58.44</v>
      </c>
      <c r="F302" s="0" t="n">
        <v>12.71</v>
      </c>
      <c r="G302" s="0" t="n">
        <v>-15</v>
      </c>
      <c r="H302" s="0" t="n">
        <v>-14.4</v>
      </c>
      <c r="I302" s="0" t="n">
        <v>-13.5</v>
      </c>
      <c r="J302" s="0" t="n">
        <v>-13.2</v>
      </c>
      <c r="K302" s="0" t="n">
        <v>-12.9</v>
      </c>
      <c r="L302" s="0" t="n">
        <v>-12.6</v>
      </c>
      <c r="M302" s="0" t="n">
        <v>-12.5</v>
      </c>
      <c r="N302" s="0" t="n">
        <v>-12.3</v>
      </c>
      <c r="O302" s="0" t="n">
        <v>-12</v>
      </c>
      <c r="P302" s="0" t="n">
        <v>-11.6</v>
      </c>
      <c r="Q302" s="0" t="n">
        <v>-11.3</v>
      </c>
      <c r="R302" s="0" t="n">
        <v>-10.9</v>
      </c>
      <c r="T302" s="0" t="e">
        <f aca="false">VALUE(VLOOKUP(C302,FgeoVlookup,2,FALSE()))</f>
        <v>#N/A</v>
      </c>
      <c r="U302" s="111"/>
      <c r="V302" s="0" t="s">
        <v>696</v>
      </c>
    </row>
    <row r="303" customFormat="false" ht="12.75" hidden="false" customHeight="false" outlineLevel="0" collapsed="false">
      <c r="C303" s="330" t="s">
        <v>697</v>
      </c>
      <c r="D303" s="0" t="n">
        <v>102808</v>
      </c>
      <c r="E303" s="0" t="n">
        <v>63.3</v>
      </c>
      <c r="F303" s="0" t="n">
        <v>12.12</v>
      </c>
      <c r="G303" s="0" t="n">
        <v>-22.4</v>
      </c>
      <c r="H303" s="0" t="n">
        <v>-21.1</v>
      </c>
      <c r="I303" s="0" t="n">
        <v>-20.9</v>
      </c>
      <c r="J303" s="0" t="n">
        <v>-20.2</v>
      </c>
      <c r="K303" s="0" t="n">
        <v>-19.4</v>
      </c>
      <c r="L303" s="0" t="n">
        <v>-18.9</v>
      </c>
      <c r="M303" s="0" t="n">
        <v>-18.4</v>
      </c>
      <c r="N303" s="0" t="n">
        <v>-17.8</v>
      </c>
      <c r="O303" s="0" t="n">
        <v>-17.4</v>
      </c>
      <c r="P303" s="0" t="n">
        <v>-16.8</v>
      </c>
      <c r="Q303" s="0" t="n">
        <v>-16.4</v>
      </c>
      <c r="R303" s="0" t="n">
        <v>-16.1</v>
      </c>
      <c r="T303" s="0" t="e">
        <f aca="false">VALUE(VLOOKUP(C303,FgeoVlookup,2,FALSE()))</f>
        <v>#N/A</v>
      </c>
      <c r="U303" s="111"/>
      <c r="V303" s="0" t="s">
        <v>698</v>
      </c>
    </row>
    <row r="304" customFormat="false" ht="12.75" hidden="false" customHeight="false" outlineLevel="0" collapsed="false">
      <c r="C304" s="330" t="s">
        <v>699</v>
      </c>
      <c r="D304" s="0" t="n">
        <v>102414</v>
      </c>
      <c r="E304" s="0" t="n">
        <v>58.67</v>
      </c>
      <c r="F304" s="0" t="n">
        <v>17.1</v>
      </c>
      <c r="G304" s="0" t="n">
        <v>-14.6</v>
      </c>
      <c r="H304" s="0" t="n">
        <v>-13.7</v>
      </c>
      <c r="I304" s="0" t="n">
        <v>-13.3</v>
      </c>
      <c r="J304" s="0" t="n">
        <v>-12.7</v>
      </c>
      <c r="K304" s="0" t="n">
        <v>-12.4</v>
      </c>
      <c r="L304" s="0" t="n">
        <v>-12.1</v>
      </c>
      <c r="M304" s="0" t="n">
        <v>-11.8</v>
      </c>
      <c r="N304" s="0" t="n">
        <v>-11.7</v>
      </c>
      <c r="O304" s="0" t="n">
        <v>-11.3</v>
      </c>
      <c r="P304" s="0" t="n">
        <v>-11.1</v>
      </c>
      <c r="Q304" s="0" t="n">
        <v>-10.7</v>
      </c>
      <c r="R304" s="0" t="n">
        <v>-10.5</v>
      </c>
      <c r="T304" s="0" t="e">
        <f aca="false">VALUE(VLOOKUP(C304,FgeoVlookup,2,FALSE()))</f>
        <v>#N/A</v>
      </c>
      <c r="V304" s="316" t="s">
        <v>700</v>
      </c>
    </row>
    <row r="305" customFormat="false" ht="12.75" hidden="false" customHeight="false" outlineLevel="0" collapsed="false">
      <c r="C305" s="330" t="s">
        <v>701</v>
      </c>
      <c r="D305" s="0" t="n">
        <v>102011</v>
      </c>
      <c r="E305" s="0" t="n">
        <v>67.73</v>
      </c>
      <c r="F305" s="0" t="n">
        <v>17.47</v>
      </c>
      <c r="G305" s="0" t="n">
        <v>-24.9</v>
      </c>
      <c r="H305" s="0" t="n">
        <v>-24.2</v>
      </c>
      <c r="I305" s="0" t="n">
        <v>-23.7</v>
      </c>
      <c r="J305" s="0" t="n">
        <v>-23</v>
      </c>
      <c r="K305" s="0" t="n">
        <v>-22.6</v>
      </c>
      <c r="L305" s="0" t="n">
        <v>-21.9</v>
      </c>
      <c r="M305" s="0" t="n">
        <v>-21.6</v>
      </c>
      <c r="N305" s="0" t="n">
        <v>-21.2</v>
      </c>
      <c r="O305" s="0" t="n">
        <v>-20.9</v>
      </c>
      <c r="P305" s="0" t="n">
        <v>-20.7</v>
      </c>
      <c r="Q305" s="0" t="n">
        <v>-20.5</v>
      </c>
      <c r="R305" s="0" t="n">
        <v>-20.2</v>
      </c>
      <c r="T305" s="0" t="e">
        <f aca="false">VALUE(VLOOKUP(C305,FgeoVlookup,2,FALSE()))</f>
        <v>#N/A</v>
      </c>
      <c r="V305" s="0" t="s">
        <v>685</v>
      </c>
      <c r="W305" s="0" t="s">
        <v>702</v>
      </c>
    </row>
    <row r="306" customFormat="false" ht="12.75" hidden="false" customHeight="false" outlineLevel="0" collapsed="false">
      <c r="C306" s="330" t="s">
        <v>703</v>
      </c>
      <c r="D306" s="0" t="n">
        <v>102007</v>
      </c>
      <c r="E306" s="0" t="n">
        <v>66.96</v>
      </c>
      <c r="F306" s="0" t="n">
        <v>17.73</v>
      </c>
      <c r="G306" s="0" t="n">
        <v>-31.4</v>
      </c>
      <c r="H306" s="0" t="n">
        <v>-30.8</v>
      </c>
      <c r="I306" s="0" t="n">
        <v>-29.8</v>
      </c>
      <c r="J306" s="0" t="n">
        <v>-28.5</v>
      </c>
      <c r="K306" s="0" t="n">
        <v>-27.5</v>
      </c>
      <c r="L306" s="0" t="n">
        <v>-27.1</v>
      </c>
      <c r="M306" s="0" t="n">
        <v>-27</v>
      </c>
      <c r="N306" s="0" t="n">
        <v>-26.5</v>
      </c>
      <c r="O306" s="0" t="n">
        <v>-26.1</v>
      </c>
      <c r="P306" s="0" t="n">
        <v>-25.9</v>
      </c>
      <c r="Q306" s="0" t="n">
        <v>-25.8</v>
      </c>
      <c r="R306" s="0" t="n">
        <v>-25.6</v>
      </c>
      <c r="T306" s="0" t="e">
        <f aca="false">VALUE(VLOOKUP(C306,FgeoVlookup,2,FALSE()))</f>
        <v>#N/A</v>
      </c>
      <c r="V306" s="0" t="s">
        <v>685</v>
      </c>
    </row>
    <row r="307" customFormat="false" ht="12.75" hidden="false" customHeight="false" outlineLevel="0" collapsed="false">
      <c r="C307" s="330" t="s">
        <v>704</v>
      </c>
      <c r="D307" s="0" t="n">
        <v>102016</v>
      </c>
      <c r="E307" s="0" t="n">
        <v>68.44</v>
      </c>
      <c r="F307" s="0" t="n">
        <v>22.49</v>
      </c>
      <c r="G307" s="0" t="n">
        <v>-32.5</v>
      </c>
      <c r="H307" s="0" t="n">
        <v>-31.7</v>
      </c>
      <c r="I307" s="0" t="n">
        <v>-31</v>
      </c>
      <c r="J307" s="0" t="n">
        <v>-30</v>
      </c>
      <c r="K307" s="0" t="n">
        <v>-29.5</v>
      </c>
      <c r="L307" s="0" t="n">
        <v>-29.1</v>
      </c>
      <c r="M307" s="0" t="n">
        <v>-28.8</v>
      </c>
      <c r="N307" s="0" t="n">
        <v>-27.8</v>
      </c>
      <c r="O307" s="0" t="n">
        <v>-27.4</v>
      </c>
      <c r="P307" s="0" t="n">
        <v>-26.6</v>
      </c>
      <c r="Q307" s="0" t="n">
        <v>-26.5</v>
      </c>
      <c r="R307" s="0" t="n">
        <v>-26.4</v>
      </c>
      <c r="T307" s="0" t="e">
        <f aca="false">VALUE(VLOOKUP(C307,FgeoVlookup,2,FALSE()))</f>
        <v>#N/A</v>
      </c>
      <c r="U307" s="111"/>
      <c r="V307" s="0" t="s">
        <v>685</v>
      </c>
    </row>
    <row r="308" customFormat="false" ht="12.75" hidden="false" customHeight="false" outlineLevel="0" collapsed="false">
      <c r="C308" s="330" t="s">
        <v>705</v>
      </c>
      <c r="D308" s="0" t="n">
        <v>102815</v>
      </c>
      <c r="E308" s="0" t="n">
        <v>63.7</v>
      </c>
      <c r="F308" s="0" t="n">
        <v>16.87</v>
      </c>
      <c r="G308" s="0" t="n">
        <v>-29.2</v>
      </c>
      <c r="H308" s="0" t="n">
        <v>-27.9</v>
      </c>
      <c r="I308" s="0" t="n">
        <v>-26.9</v>
      </c>
      <c r="J308" s="0" t="n">
        <v>-26.2</v>
      </c>
      <c r="K308" s="0" t="n">
        <v>-25.3</v>
      </c>
      <c r="L308" s="0" t="n">
        <v>-24.5</v>
      </c>
      <c r="M308" s="0" t="n">
        <v>-24.1</v>
      </c>
      <c r="N308" s="0" t="n">
        <v>-23.8</v>
      </c>
      <c r="O308" s="0" t="n">
        <v>-23.6</v>
      </c>
      <c r="P308" s="0" t="n">
        <v>-23.2</v>
      </c>
      <c r="Q308" s="0" t="n">
        <v>-23</v>
      </c>
      <c r="R308" s="0" t="n">
        <v>-22.7</v>
      </c>
      <c r="T308" s="0" t="e">
        <f aca="false">VALUE(VLOOKUP(C308,FgeoVlookup,2,FALSE()))</f>
        <v>#N/A</v>
      </c>
      <c r="U308" s="111"/>
      <c r="V308" s="0" t="s">
        <v>706</v>
      </c>
    </row>
    <row r="309" customFormat="false" ht="38.25" hidden="false" customHeight="false" outlineLevel="0" collapsed="false">
      <c r="C309" s="330" t="s">
        <v>707</v>
      </c>
      <c r="D309" s="0" t="n">
        <v>102908</v>
      </c>
      <c r="E309" s="0" t="n">
        <v>65.8</v>
      </c>
      <c r="F309" s="0" t="n">
        <v>15.1</v>
      </c>
      <c r="G309" s="0" t="n">
        <v>-27.3</v>
      </c>
      <c r="H309" s="0" t="n">
        <v>-26.5</v>
      </c>
      <c r="I309" s="0" t="n">
        <v>-25.6</v>
      </c>
      <c r="J309" s="0" t="n">
        <v>-25</v>
      </c>
      <c r="K309" s="0" t="n">
        <v>-24.5</v>
      </c>
      <c r="L309" s="0" t="n">
        <v>-24.2</v>
      </c>
      <c r="M309" s="0" t="n">
        <v>-23.9</v>
      </c>
      <c r="N309" s="0" t="n">
        <v>-23.6</v>
      </c>
      <c r="O309" s="0" t="n">
        <v>-23.6</v>
      </c>
      <c r="P309" s="0" t="n">
        <v>-23.6</v>
      </c>
      <c r="Q309" s="0" t="n">
        <v>-23</v>
      </c>
      <c r="R309" s="0" t="n">
        <v>-22.6</v>
      </c>
      <c r="T309" s="0" t="e">
        <f aca="false">VALUE(VLOOKUP(C309,FgeoVlookup,2,FALSE()))</f>
        <v>#N/A</v>
      </c>
      <c r="U309" s="111"/>
      <c r="V309" s="90" t="s">
        <v>708</v>
      </c>
    </row>
    <row r="310" customFormat="false" ht="51" hidden="false" customHeight="false" outlineLevel="0" collapsed="false">
      <c r="C310" s="330" t="s">
        <v>709</v>
      </c>
      <c r="D310" s="0" t="n">
        <v>102813</v>
      </c>
      <c r="E310" s="0" t="n">
        <v>64.5</v>
      </c>
      <c r="F310" s="0" t="n">
        <v>17.16</v>
      </c>
      <c r="G310" s="0" t="n">
        <v>-28.9</v>
      </c>
      <c r="H310" s="0" t="n">
        <v>-28.4</v>
      </c>
      <c r="I310" s="0" t="n">
        <v>-27.2</v>
      </c>
      <c r="J310" s="0" t="n">
        <v>-26.4</v>
      </c>
      <c r="K310" s="0" t="n">
        <v>-25.7</v>
      </c>
      <c r="L310" s="0" t="n">
        <v>-25.3</v>
      </c>
      <c r="M310" s="0" t="n">
        <v>-25.1</v>
      </c>
      <c r="N310" s="0" t="n">
        <v>-24.9</v>
      </c>
      <c r="O310" s="0" t="n">
        <v>-24.7</v>
      </c>
      <c r="P310" s="0" t="n">
        <v>-24.5</v>
      </c>
      <c r="Q310" s="0" t="n">
        <v>-24.5</v>
      </c>
      <c r="R310" s="0" t="n">
        <v>-24.3</v>
      </c>
      <c r="T310" s="0" t="e">
        <f aca="false">VALUE(VLOOKUP(C310,FgeoVlookup,2,FALSE()))</f>
        <v>#N/A</v>
      </c>
      <c r="V310" s="90" t="s">
        <v>710</v>
      </c>
    </row>
    <row r="313" customFormat="false" ht="12.75" hidden="false" customHeight="false" outlineLevel="0" collapsed="false">
      <c r="A313" s="111"/>
      <c r="B313" s="111"/>
      <c r="C313" s="330" t="s">
        <v>711</v>
      </c>
      <c r="D313" s="0" t="n">
        <v>102023</v>
      </c>
      <c r="E313" s="0" t="n">
        <v>68.36</v>
      </c>
      <c r="F313" s="0" t="n">
        <v>18.82</v>
      </c>
      <c r="G313" s="0" t="n">
        <v>-25.6</v>
      </c>
      <c r="H313" s="0" t="n">
        <v>-25.2</v>
      </c>
      <c r="I313" s="0" t="n">
        <v>-24.2</v>
      </c>
      <c r="J313" s="0" t="n">
        <v>-23.5</v>
      </c>
      <c r="K313" s="0" t="n">
        <v>-23</v>
      </c>
      <c r="L313" s="0" t="n">
        <v>-22.3</v>
      </c>
      <c r="M313" s="0" t="n">
        <v>-21.7</v>
      </c>
      <c r="N313" s="0" t="n">
        <v>-21.2</v>
      </c>
      <c r="O313" s="0" t="n">
        <v>-20.9</v>
      </c>
      <c r="P313" s="0" t="n">
        <v>-20.9</v>
      </c>
      <c r="Q313" s="0" t="n">
        <v>-20.6</v>
      </c>
      <c r="R313" s="0" t="n">
        <v>-20.2</v>
      </c>
      <c r="T313" s="0" t="e">
        <f aca="false">VALUE(VLOOKUP(C313,FgeoVlookup,2,FALSE()))</f>
        <v>#N/A</v>
      </c>
      <c r="V313" s="0" t="s">
        <v>685</v>
      </c>
    </row>
    <row r="314" customFormat="false" ht="12.75" hidden="false" customHeight="false" outlineLevel="0" collapsed="false">
      <c r="C314" s="330" t="s">
        <v>712</v>
      </c>
      <c r="D314" s="0" t="n">
        <v>102819</v>
      </c>
      <c r="E314" s="0" t="n">
        <v>62.45</v>
      </c>
      <c r="F314" s="0" t="n">
        <v>12.67</v>
      </c>
      <c r="G314" s="0" t="n">
        <v>-27.5</v>
      </c>
      <c r="H314" s="0" t="n">
        <v>-27.1</v>
      </c>
      <c r="I314" s="0" t="n">
        <v>-25.6</v>
      </c>
      <c r="J314" s="0" t="n">
        <v>-24.9</v>
      </c>
      <c r="K314" s="0" t="n">
        <v>-24</v>
      </c>
      <c r="L314" s="0" t="n">
        <v>-23.3</v>
      </c>
      <c r="M314" s="0" t="n">
        <v>-22.3</v>
      </c>
      <c r="N314" s="0" t="n">
        <v>-21.7</v>
      </c>
      <c r="O314" s="0" t="n">
        <v>-21.4</v>
      </c>
      <c r="P314" s="0" t="n">
        <v>-21</v>
      </c>
      <c r="Q314" s="0" t="n">
        <v>-20.8</v>
      </c>
      <c r="R314" s="0" t="n">
        <v>-20.7</v>
      </c>
      <c r="T314" s="0" t="e">
        <f aca="false">VALUE(VLOOKUP(C314,FgeoVlookup,2,FALSE()))</f>
        <v>#N/A</v>
      </c>
      <c r="U314" s="111"/>
      <c r="V314" s="0" t="s">
        <v>713</v>
      </c>
    </row>
    <row r="316" customFormat="false" ht="12.75" hidden="false" customHeight="false" outlineLevel="0" collapsed="false">
      <c r="C316" s="330" t="s">
        <v>714</v>
      </c>
      <c r="D316" s="0" t="n">
        <v>102724</v>
      </c>
      <c r="E316" s="0" t="n">
        <v>61.83</v>
      </c>
      <c r="F316" s="0" t="n">
        <v>16.54</v>
      </c>
      <c r="G316" s="0" t="n">
        <v>-22.1</v>
      </c>
      <c r="H316" s="0" t="n">
        <v>-21.8</v>
      </c>
      <c r="I316" s="0" t="n">
        <v>-20.7</v>
      </c>
      <c r="J316" s="0" t="n">
        <v>-20.1</v>
      </c>
      <c r="K316" s="0" t="n">
        <v>-19.3</v>
      </c>
      <c r="L316" s="0" t="n">
        <v>-18.5</v>
      </c>
      <c r="M316" s="0" t="n">
        <v>-18.2</v>
      </c>
      <c r="N316" s="0" t="n">
        <v>-17.4</v>
      </c>
      <c r="O316" s="0" t="n">
        <v>-17.4</v>
      </c>
      <c r="P316" s="0" t="n">
        <v>-17.2</v>
      </c>
      <c r="Q316" s="0" t="n">
        <v>-16.7</v>
      </c>
      <c r="R316" s="0" t="n">
        <v>-16.6</v>
      </c>
      <c r="T316" s="0" t="e">
        <f aca="false">VALUE(VLOOKUP(C316,FgeoVlookup,2,FALSE()))</f>
        <v>#N/A</v>
      </c>
      <c r="U316" s="0" t="s">
        <v>715</v>
      </c>
      <c r="V316" s="0" t="s">
        <v>715</v>
      </c>
    </row>
    <row r="317" customFormat="false" ht="12.75" hidden="false" customHeight="false" outlineLevel="0" collapsed="false">
      <c r="C317" s="330" t="s">
        <v>716</v>
      </c>
      <c r="D317" s="0" t="n">
        <v>102324</v>
      </c>
      <c r="E317" s="0" t="n">
        <v>57.17</v>
      </c>
      <c r="F317" s="0" t="n">
        <v>15.35</v>
      </c>
      <c r="G317" s="0" t="n">
        <v>-16.4</v>
      </c>
      <c r="H317" s="0" t="n">
        <v>-15.1</v>
      </c>
      <c r="I317" s="0" t="n">
        <v>-14.6</v>
      </c>
      <c r="J317" s="0" t="n">
        <v>-14</v>
      </c>
      <c r="K317" s="0" t="n">
        <v>-13.5</v>
      </c>
      <c r="L317" s="0" t="n">
        <v>-13.5</v>
      </c>
      <c r="M317" s="0" t="n">
        <v>-13.5</v>
      </c>
      <c r="N317" s="0" t="n">
        <v>-13.2</v>
      </c>
      <c r="O317" s="0" t="n">
        <v>-13</v>
      </c>
      <c r="P317" s="0" t="n">
        <v>-12.6</v>
      </c>
      <c r="Q317" s="0" t="n">
        <v>-12.2</v>
      </c>
      <c r="R317" s="0" t="n">
        <v>-11.9</v>
      </c>
      <c r="T317" s="0" t="e">
        <f aca="false">VALUE(VLOOKUP(C317,FgeoVlookup,2,FALSE()))</f>
        <v>#N/A</v>
      </c>
      <c r="U317" s="111"/>
      <c r="V317" s="0" t="s">
        <v>685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2016-12-15T11:42:43Z</dcterms:created>
  <dc:creator>Bengt</dc:creator>
  <dc:description/>
  <dc:language>en-US</dc:language>
  <cp:lastModifiedBy/>
  <cp:lastPrinted>2021-01-08T11:11:51Z</cp:lastPrinted>
  <dcterms:modified xsi:type="dcterms:W3CDTF">2025-11-06T11:04:25Z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